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0" windowHeight="12060" tabRatio="749"/>
  </bookViews>
  <sheets>
    <sheet name="封面" sheetId="19" r:id="rId1"/>
    <sheet name="目录" sheetId="20" r:id="rId2"/>
    <sheet name="表一" sheetId="21" r:id="rId3"/>
    <sheet name="表二" sheetId="28" r:id="rId4"/>
    <sheet name="表三" sheetId="23" r:id="rId5"/>
    <sheet name="表四" sheetId="24" r:id="rId6"/>
    <sheet name="表五" sheetId="9" r:id="rId7"/>
    <sheet name="表六" sheetId="10" r:id="rId8"/>
    <sheet name="表七" sheetId="25" r:id="rId9"/>
    <sheet name="表八" sheetId="15" r:id="rId10"/>
    <sheet name="表九" sheetId="29" r:id="rId11"/>
    <sheet name="表十" sheetId="30" r:id="rId12"/>
  </sheets>
  <externalReferences>
    <externalReference r:id="rId13"/>
    <externalReference r:id="rId14"/>
  </externalReferences>
  <definedNames>
    <definedName name="_xlnm.Print_Area" localSheetId="6">表五!$A$1:$R$28</definedName>
    <definedName name="_xlnm.Print_Area" localSheetId="7">表六!$A$1:$R$22</definedName>
    <definedName name="_xlnm.Print_Titles" localSheetId="2">表一!$1:$4</definedName>
    <definedName name="_xlnm.Print_Area" localSheetId="2">表一!$A$1:$AH$98</definedName>
    <definedName name="_xlnm._FilterDatabase" localSheetId="2" hidden="1">表一!$A$1:$F$91</definedName>
    <definedName name="_xlnm.Print_Titles" localSheetId="4">表三!$1:$3</definedName>
    <definedName name="_xlnm.Print_Area" localSheetId="4">表三!$A$1:$F$38</definedName>
    <definedName name="_xlnm._FilterDatabase" localSheetId="4" hidden="1">表三!$A$1:$F$186</definedName>
    <definedName name="_xlnm.Print_Titles" localSheetId="5">表四!$1:$4</definedName>
    <definedName name="_xlnm.Print_Area" localSheetId="5">表四!$A$1:$F$88</definedName>
    <definedName name="_xlnm._FilterDatabase" localSheetId="5" hidden="1">表四!#REF!</definedName>
    <definedName name="_xlnm.Print_Titles" localSheetId="8">表七!$1:$3</definedName>
    <definedName name="_xlnm.Print_Titles" localSheetId="3">表二!$1:$4</definedName>
    <definedName name="_xlnm.Print_Area" localSheetId="3">表二!$A$1:$P$35</definedName>
    <definedName name="_xlnm.Print_Area" localSheetId="8">表七!$A$1:$P$47</definedName>
    <definedName name="_xlnm.Print_Area" localSheetId="9">表八!$A$1:$J$21</definedName>
  </definedNames>
  <calcPr calcId="144525" concurrentCalc="0"/>
</workbook>
</file>

<file path=xl/comments1.xml><?xml version="1.0" encoding="utf-8"?>
<comments xmlns="http://schemas.openxmlformats.org/spreadsheetml/2006/main">
  <authors>
    <author>Administrator</author>
  </authors>
  <commentList>
    <comment ref="C5" authorId="0">
      <text>
        <r>
          <rPr>
            <b/>
            <sz val="9"/>
            <rFont val="宋体"/>
            <charset val="134"/>
          </rPr>
          <t>Administrator:</t>
        </r>
        <r>
          <rPr>
            <sz val="9"/>
            <rFont val="宋体"/>
            <charset val="134"/>
          </rPr>
          <t xml:space="preserve">
市局下达我县收入任务10750万元，税收收入：8611万元，非税收入2139万元。（安财预（2019）72号）</t>
        </r>
      </text>
    </comment>
    <comment ref="AE21" authorId="0">
      <text>
        <r>
          <rPr>
            <b/>
            <sz val="9"/>
            <rFont val="宋体"/>
            <charset val="134"/>
          </rPr>
          <t>Administrator:</t>
        </r>
        <r>
          <rPr>
            <sz val="9"/>
            <rFont val="宋体"/>
            <charset val="134"/>
          </rPr>
          <t xml:space="preserve">
乡镇工作补贴提标</t>
        </r>
      </text>
    </comment>
    <comment ref="AE36" authorId="0">
      <text>
        <r>
          <rPr>
            <b/>
            <sz val="9"/>
            <rFont val="宋体"/>
            <charset val="134"/>
          </rPr>
          <t>Administrator:</t>
        </r>
        <r>
          <rPr>
            <sz val="9"/>
            <rFont val="宋体"/>
            <charset val="134"/>
          </rPr>
          <t xml:space="preserve">
151万元：2、10个新增社区按照城市社区（七职）核算经费（两个社区执行时间为2020年1月1日，其余8各社区执行时间为2020年6月1日）共151.3328万元，其中：办公经费每个社区3万元（含党建经费）共18万元；社区服务每个社区5万元共33.33万元；社区支书及主任按2500/人/月，社区副职按2000元/人/月，监委会主任按照880元/人/月，社区委员按1500元/人/月（每个社区3职）计算共100万元。</t>
        </r>
      </text>
    </comment>
    <comment ref="AE52" authorId="0">
      <text>
        <r>
          <rPr>
            <b/>
            <sz val="9"/>
            <rFont val="宋体"/>
            <charset val="134"/>
          </rPr>
          <t>Administrator:</t>
        </r>
        <r>
          <rPr>
            <sz val="9"/>
            <rFont val="宋体"/>
            <charset val="134"/>
          </rPr>
          <t xml:space="preserve">
14、任河嘴文化中心项目规划方案及施工图设计费：540万，预计500</t>
        </r>
      </text>
    </comment>
    <comment ref="H59" authorId="0">
      <text>
        <r>
          <rPr>
            <b/>
            <sz val="9"/>
            <rFont val="宋体"/>
            <charset val="134"/>
          </rPr>
          <t>Administrator:</t>
        </r>
        <r>
          <rPr>
            <sz val="9"/>
            <rFont val="宋体"/>
            <charset val="134"/>
          </rPr>
          <t xml:space="preserve">
其中：1893万元为抗疫国债预留资金列入财力；88万元为道路运管所固定基数；1337万元为省级</t>
        </r>
      </text>
    </comment>
    <comment ref="W68" authorId="0">
      <text>
        <r>
          <rPr>
            <b/>
            <sz val="9"/>
            <rFont val="宋体"/>
            <charset val="134"/>
          </rPr>
          <t>Administrator:</t>
        </r>
        <r>
          <rPr>
            <sz val="9"/>
            <rFont val="宋体"/>
            <charset val="134"/>
          </rPr>
          <t xml:space="preserve">
发行费=120449万*0.01%
手续费=120449万*0.1%</t>
        </r>
      </text>
    </comment>
    <comment ref="AF71" authorId="0">
      <text>
        <r>
          <rPr>
            <b/>
            <sz val="9"/>
            <rFont val="宋体"/>
            <charset val="134"/>
          </rPr>
          <t>Administrator:</t>
        </r>
        <r>
          <rPr>
            <sz val="9"/>
            <rFont val="宋体"/>
            <charset val="134"/>
          </rPr>
          <t xml:space="preserve">
3600+167</t>
        </r>
      </text>
    </comment>
    <comment ref="L72" authorId="0">
      <text>
        <r>
          <rPr>
            <b/>
            <sz val="9"/>
            <rFont val="宋体"/>
            <charset val="134"/>
          </rPr>
          <t>Administrator:</t>
        </r>
        <r>
          <rPr>
            <sz val="9"/>
            <rFont val="宋体"/>
            <charset val="134"/>
          </rPr>
          <t xml:space="preserve">
发行费=120449万*0.01%
手续费=120449万*0.1%</t>
        </r>
      </text>
    </comment>
    <comment ref="C90" authorId="0">
      <text>
        <r>
          <rPr>
            <b/>
            <sz val="9"/>
            <rFont val="宋体"/>
            <charset val="134"/>
          </rPr>
          <t>Administrator:</t>
        </r>
        <r>
          <rPr>
            <sz val="9"/>
            <rFont val="宋体"/>
            <charset val="134"/>
          </rPr>
          <t xml:space="preserve">
新增一般债券9.4949亿元：其中专项用于2019年易地扶贫搬迁40000万元；归还2018年承贷的易地扶贫搬迁融资贷款27287万元；农村公路建设等脱贫攻坚基础设施、乡村振兴、污染防治等公益性项目27662万元</t>
        </r>
      </text>
    </comment>
    <comment ref="D90" authorId="0">
      <text>
        <r>
          <rPr>
            <b/>
            <sz val="9"/>
            <rFont val="宋体"/>
            <charset val="134"/>
          </rPr>
          <t>Administrator:</t>
        </r>
        <r>
          <rPr>
            <sz val="9"/>
            <rFont val="宋体"/>
            <charset val="134"/>
          </rPr>
          <t xml:space="preserve">
新增一般债券9.4949亿元：其中专项用于2019年易地扶贫搬迁40000万元；归还2018年承贷的易地扶贫搬迁融资贷款27287万元；农村公路建设等脱贫攻坚基础设施、乡村振兴、污染防治等公益性项目27662万元</t>
        </r>
      </text>
    </comment>
    <comment ref="L93" authorId="0">
      <text>
        <r>
          <rPr>
            <b/>
            <sz val="9"/>
            <rFont val="宋体"/>
            <charset val="134"/>
          </rPr>
          <t>Administrator:</t>
        </r>
        <r>
          <rPr>
            <sz val="9"/>
            <rFont val="宋体"/>
            <charset val="134"/>
          </rPr>
          <t xml:space="preserve">
</t>
        </r>
        <r>
          <rPr>
            <b/>
            <sz val="12"/>
            <rFont val="宋体"/>
            <charset val="134"/>
          </rPr>
          <t>1</t>
        </r>
        <r>
          <rPr>
            <sz val="12"/>
            <rFont val="宋体"/>
            <charset val="134"/>
          </rPr>
          <t>、定额上解79万元，分别是：市以下体制调整基数上解33万元、城建税定比定额上解2万元、段煤矿统筹上解44万元；</t>
        </r>
        <r>
          <rPr>
            <b/>
            <sz val="12"/>
            <rFont val="宋体"/>
            <charset val="134"/>
          </rPr>
          <t>2</t>
        </r>
        <r>
          <rPr>
            <sz val="12"/>
            <rFont val="宋体"/>
            <charset val="134"/>
          </rPr>
          <t>、事业单位经费上划376万元，分别是：07年前基数373万元、盐务系统上划3万元。</t>
        </r>
        <r>
          <rPr>
            <b/>
            <sz val="12"/>
            <rFont val="宋体"/>
            <charset val="134"/>
          </rPr>
          <t>3</t>
        </r>
        <r>
          <rPr>
            <sz val="12"/>
            <rFont val="宋体"/>
            <charset val="134"/>
          </rPr>
          <t>、市财政局关于扣除2018年企业基本养老保险基金政府责任分担机制资金295.76万元</t>
        </r>
        <r>
          <rPr>
            <b/>
            <sz val="9"/>
            <rFont val="宋体"/>
            <charset val="134"/>
          </rPr>
          <t>（年初预算288万元）</t>
        </r>
        <r>
          <rPr>
            <sz val="12"/>
            <rFont val="宋体"/>
            <charset val="134"/>
          </rPr>
          <t>。</t>
        </r>
        <r>
          <rPr>
            <b/>
            <sz val="12"/>
            <rFont val="宋体"/>
            <charset val="134"/>
          </rPr>
          <t>4</t>
        </r>
        <r>
          <rPr>
            <sz val="12"/>
            <rFont val="宋体"/>
            <charset val="134"/>
          </rPr>
          <t>、法院、检察院上划2157万元。</t>
        </r>
        <r>
          <rPr>
            <b/>
            <sz val="12"/>
            <rFont val="宋体"/>
            <charset val="134"/>
          </rPr>
          <t>5</t>
        </r>
        <r>
          <rPr>
            <sz val="12"/>
            <rFont val="宋体"/>
            <charset val="134"/>
          </rPr>
          <t>,企业退税周转金300万元，</t>
        </r>
        <r>
          <rPr>
            <b/>
            <sz val="9"/>
            <rFont val="宋体"/>
            <charset val="134"/>
          </rPr>
          <t>（年初未预算）。6、</t>
        </r>
        <r>
          <rPr>
            <sz val="9"/>
            <rFont val="宋体"/>
            <charset val="134"/>
          </rPr>
          <t>税务部门激励性奖励资金按税收40%，345万元</t>
        </r>
        <r>
          <rPr>
            <b/>
            <sz val="9"/>
            <rFont val="宋体"/>
            <charset val="134"/>
          </rPr>
          <t>（年初位列预算）</t>
        </r>
        <r>
          <rPr>
            <sz val="9"/>
            <rFont val="宋体"/>
            <charset val="134"/>
          </rPr>
          <t>。</t>
        </r>
      </text>
    </comment>
    <comment ref="W93" authorId="0">
      <text>
        <r>
          <rPr>
            <b/>
            <sz val="9"/>
            <rFont val="宋体"/>
            <charset val="134"/>
          </rPr>
          <t>Administrator:</t>
        </r>
        <r>
          <rPr>
            <sz val="9"/>
            <rFont val="宋体"/>
            <charset val="134"/>
          </rPr>
          <t xml:space="preserve">
</t>
        </r>
        <r>
          <rPr>
            <b/>
            <sz val="12"/>
            <rFont val="宋体"/>
            <charset val="134"/>
          </rPr>
          <t>1</t>
        </r>
        <r>
          <rPr>
            <sz val="12"/>
            <rFont val="宋体"/>
            <charset val="134"/>
          </rPr>
          <t>、定额上解79万元，分别是：市以下体制调整基数上解33万元、城建税定比定额上解2万元、段煤矿统筹上解44万元；</t>
        </r>
        <r>
          <rPr>
            <b/>
            <sz val="12"/>
            <rFont val="宋体"/>
            <charset val="134"/>
          </rPr>
          <t>2</t>
        </r>
        <r>
          <rPr>
            <sz val="12"/>
            <rFont val="宋体"/>
            <charset val="134"/>
          </rPr>
          <t>、事业单位经费上划376万元，分别是：07年前基数373万元、盐务系统上划3万元。</t>
        </r>
        <r>
          <rPr>
            <b/>
            <sz val="12"/>
            <rFont val="宋体"/>
            <charset val="134"/>
          </rPr>
          <t>3</t>
        </r>
        <r>
          <rPr>
            <sz val="12"/>
            <rFont val="宋体"/>
            <charset val="134"/>
          </rPr>
          <t>、市财政局关于扣除2018年企业基本养老保险基金政府责任分担机制资金295.76万元</t>
        </r>
        <r>
          <rPr>
            <b/>
            <sz val="9"/>
            <rFont val="宋体"/>
            <charset val="134"/>
          </rPr>
          <t>（年初预算288万元）</t>
        </r>
        <r>
          <rPr>
            <sz val="12"/>
            <rFont val="宋体"/>
            <charset val="134"/>
          </rPr>
          <t>。</t>
        </r>
        <r>
          <rPr>
            <b/>
            <sz val="12"/>
            <rFont val="宋体"/>
            <charset val="134"/>
          </rPr>
          <t>4</t>
        </r>
        <r>
          <rPr>
            <sz val="12"/>
            <rFont val="宋体"/>
            <charset val="134"/>
          </rPr>
          <t>、法院、检察院上划2157万元。</t>
        </r>
        <r>
          <rPr>
            <b/>
            <sz val="12"/>
            <rFont val="宋体"/>
            <charset val="134"/>
          </rPr>
          <t>5</t>
        </r>
        <r>
          <rPr>
            <sz val="12"/>
            <rFont val="宋体"/>
            <charset val="134"/>
          </rPr>
          <t>,企业退税周转金300万元，</t>
        </r>
        <r>
          <rPr>
            <b/>
            <sz val="9"/>
            <rFont val="宋体"/>
            <charset val="134"/>
          </rPr>
          <t>（年初未预算）。6、</t>
        </r>
        <r>
          <rPr>
            <sz val="9"/>
            <rFont val="宋体"/>
            <charset val="134"/>
          </rPr>
          <t>税务部门激励性奖励资金按税收40%，345万元</t>
        </r>
        <r>
          <rPr>
            <b/>
            <sz val="9"/>
            <rFont val="宋体"/>
            <charset val="134"/>
          </rPr>
          <t>（年初位列预算）</t>
        </r>
        <r>
          <rPr>
            <sz val="9"/>
            <rFont val="宋体"/>
            <charset val="134"/>
          </rPr>
          <t>。</t>
        </r>
      </text>
    </comment>
    <comment ref="AF93" authorId="0">
      <text>
        <r>
          <rPr>
            <b/>
            <sz val="9"/>
            <rFont val="宋体"/>
            <charset val="134"/>
          </rPr>
          <t>Administrator:</t>
        </r>
        <r>
          <rPr>
            <sz val="9"/>
            <rFont val="宋体"/>
            <charset val="134"/>
          </rPr>
          <t xml:space="preserve">
1、定额上解79万元，分别是：市以下体制调整基数上解33万元、城建税定比定额上解2万元、段煤矿统筹上解44万元；2、事业单位经费上划376万元，分别是：07年前基数373万元、盐务系统上划3万元。3、金融保险业增值税及其附征、水资源税、环保税基数上解223万元。4、企业养老保险市区分担部分上解305万元。5、法检两院上划基数上解2157万元。
</t>
        </r>
      </text>
    </comment>
  </commentList>
</comments>
</file>

<file path=xl/comments2.xml><?xml version="1.0" encoding="utf-8"?>
<comments xmlns="http://schemas.openxmlformats.org/spreadsheetml/2006/main">
  <authors>
    <author>Administrator</author>
  </authors>
  <commentList>
    <comment ref="D6" authorId="0">
      <text>
        <r>
          <rPr>
            <b/>
            <sz val="9"/>
            <rFont val="宋体"/>
            <charset val="134"/>
          </rPr>
          <t>Administrator:</t>
        </r>
        <r>
          <rPr>
            <sz val="9"/>
            <rFont val="宋体"/>
            <charset val="134"/>
          </rPr>
          <t xml:space="preserve">
教育新增：高层人才、正式招聘、特岗教师287人，月工资4376元，需发放4个月。其他事业单位招聘80人（含三支一扶17人），月工资4151元，需发放2个月。公务员招录45人，月工资4190元，月车补550元，需发放2个月。400万（其中：医疗失业等保险超预算389万元）</t>
        </r>
      </text>
    </comment>
    <comment ref="D19" authorId="0">
      <text>
        <r>
          <rPr>
            <b/>
            <sz val="9"/>
            <rFont val="宋体"/>
            <charset val="134"/>
          </rPr>
          <t>Administrator:</t>
        </r>
        <r>
          <rPr>
            <sz val="9"/>
            <rFont val="宋体"/>
            <charset val="134"/>
          </rPr>
          <t xml:space="preserve">
税务局200万元</t>
        </r>
      </text>
    </comment>
    <comment ref="D31" authorId="0">
      <text>
        <r>
          <rPr>
            <b/>
            <sz val="9"/>
            <rFont val="宋体"/>
            <charset val="134"/>
          </rPr>
          <t>Administrator:</t>
        </r>
        <r>
          <rPr>
            <sz val="9"/>
            <rFont val="宋体"/>
            <charset val="134"/>
          </rPr>
          <t xml:space="preserve">
月畔湾1238万元紫财预（2020）532号
三岔路800万元紫财预（2020）465号</t>
        </r>
      </text>
    </comment>
    <comment ref="D33" authorId="0">
      <text>
        <r>
          <rPr>
            <b/>
            <sz val="9"/>
            <rFont val="宋体"/>
            <charset val="134"/>
          </rPr>
          <t>Administrator:</t>
        </r>
        <r>
          <rPr>
            <sz val="9"/>
            <rFont val="宋体"/>
            <charset val="134"/>
          </rPr>
          <t xml:space="preserve">
县政府领导批示，增加各镇及县扶贫局国家普查工作经费</t>
        </r>
      </text>
    </comment>
    <comment ref="D34" authorId="0">
      <text>
        <r>
          <rPr>
            <b/>
            <sz val="9"/>
            <rFont val="宋体"/>
            <charset val="134"/>
          </rPr>
          <t>Administrator:</t>
        </r>
        <r>
          <rPr>
            <sz val="9"/>
            <rFont val="宋体"/>
            <charset val="134"/>
          </rPr>
          <t xml:space="preserve">
风险补偿金500万元、资本金1000万元、城投公司资本金3000</t>
        </r>
      </text>
    </comment>
    <comment ref="D36" authorId="0">
      <text>
        <r>
          <rPr>
            <b/>
            <sz val="9"/>
            <rFont val="宋体"/>
            <charset val="134"/>
          </rPr>
          <t>Administrator:</t>
        </r>
        <r>
          <rPr>
            <sz val="9"/>
            <rFont val="宋体"/>
            <charset val="134"/>
          </rPr>
          <t xml:space="preserve">
考核奖预发，按照3150人，每人8000元测算</t>
        </r>
      </text>
    </comment>
  </commentList>
</comments>
</file>

<file path=xl/comments3.xml><?xml version="1.0" encoding="utf-8"?>
<comments xmlns="http://schemas.openxmlformats.org/spreadsheetml/2006/main">
  <authors>
    <author>Administrator</author>
  </authors>
  <commentList>
    <comment ref="D10" authorId="0">
      <text>
        <r>
          <rPr>
            <b/>
            <sz val="9"/>
            <rFont val="宋体"/>
            <charset val="134"/>
          </rPr>
          <t>Administrator:</t>
        </r>
        <r>
          <rPr>
            <sz val="9"/>
            <rFont val="宋体"/>
            <charset val="134"/>
          </rPr>
          <t xml:space="preserve">
抗疫国债</t>
        </r>
      </text>
    </comment>
    <comment ref="D11" authorId="0">
      <text>
        <r>
          <rPr>
            <b/>
            <sz val="9"/>
            <rFont val="宋体"/>
            <charset val="134"/>
          </rPr>
          <t>Administrator:</t>
        </r>
        <r>
          <rPr>
            <sz val="9"/>
            <rFont val="宋体"/>
            <charset val="134"/>
          </rPr>
          <t xml:space="preserve">
抗疫国债
</t>
        </r>
      </text>
    </comment>
    <comment ref="D15" authorId="0">
      <text>
        <r>
          <rPr>
            <b/>
            <sz val="9"/>
            <rFont val="宋体"/>
            <charset val="134"/>
          </rPr>
          <t>Administrator:</t>
        </r>
        <r>
          <rPr>
            <sz val="9"/>
            <rFont val="宋体"/>
            <charset val="134"/>
          </rPr>
          <t xml:space="preserve">
全县农产品检测机构建设相关费用158万元</t>
        </r>
      </text>
    </comment>
    <comment ref="D28" authorId="0">
      <text>
        <r>
          <rPr>
            <b/>
            <sz val="9"/>
            <rFont val="宋体"/>
            <charset val="134"/>
          </rPr>
          <t>Administrator:</t>
        </r>
        <r>
          <rPr>
            <sz val="9"/>
            <rFont val="宋体"/>
            <charset val="134"/>
          </rPr>
          <t xml:space="preserve">
抗疫国债</t>
        </r>
      </text>
    </comment>
    <comment ref="F38" authorId="0">
      <text>
        <r>
          <rPr>
            <b/>
            <sz val="9"/>
            <rFont val="宋体"/>
            <charset val="134"/>
          </rPr>
          <t>Administrator:</t>
        </r>
        <r>
          <rPr>
            <sz val="9"/>
            <rFont val="宋体"/>
            <charset val="134"/>
          </rPr>
          <t xml:space="preserve">
573人</t>
        </r>
      </text>
    </comment>
    <comment ref="D45" authorId="0">
      <text>
        <r>
          <rPr>
            <b/>
            <sz val="9"/>
            <rFont val="宋体"/>
            <charset val="134"/>
          </rPr>
          <t>Administrator:</t>
        </r>
        <r>
          <rPr>
            <sz val="9"/>
            <rFont val="宋体"/>
            <charset val="134"/>
          </rPr>
          <t xml:space="preserve">
650万元为双高双普设备采购、960万元紫阳中学拆迁置换</t>
        </r>
      </text>
    </comment>
    <comment ref="D61" authorId="0">
      <text>
        <r>
          <rPr>
            <b/>
            <sz val="9"/>
            <rFont val="宋体"/>
            <charset val="134"/>
          </rPr>
          <t>Administrator:</t>
        </r>
        <r>
          <rPr>
            <sz val="9"/>
            <rFont val="宋体"/>
            <charset val="134"/>
          </rPr>
          <t xml:space="preserve">
按照县妇幼保健院申报，今年未发生，予以扣减</t>
        </r>
      </text>
    </comment>
    <comment ref="D73" authorId="0">
      <text>
        <r>
          <rPr>
            <b/>
            <sz val="9"/>
            <rFont val="宋体"/>
            <charset val="134"/>
          </rPr>
          <t>Administrator:</t>
        </r>
        <r>
          <rPr>
            <sz val="9"/>
            <rFont val="宋体"/>
            <charset val="134"/>
          </rPr>
          <t xml:space="preserve">
（县城污水处理厂中控室提标改造采购经费19万元）；用于镇级污水1.污水处理厂脱泥设备采购经费60万元；蒿坪镇、汉王镇等镇备用发电机采购经费50万元；2.政府领导批示，新增200万元用于生活垃圾填埋场渗滤液设备采购</t>
        </r>
      </text>
    </comment>
    <comment ref="F74" authorId="0">
      <text>
        <r>
          <rPr>
            <b/>
            <sz val="9"/>
            <rFont val="宋体"/>
            <charset val="134"/>
          </rPr>
          <t>Administrator:</t>
        </r>
        <r>
          <rPr>
            <sz val="9"/>
            <rFont val="宋体"/>
            <charset val="134"/>
          </rPr>
          <t xml:space="preserve">
（河湖划界今年预计缺口60万元）</t>
        </r>
      </text>
    </comment>
    <comment ref="F88" authorId="0">
      <text>
        <r>
          <rPr>
            <b/>
            <sz val="9"/>
            <rFont val="宋体"/>
            <charset val="134"/>
          </rPr>
          <t>Administrator:</t>
        </r>
        <r>
          <rPr>
            <sz val="9"/>
            <rFont val="宋体"/>
            <charset val="134"/>
          </rPr>
          <t xml:space="preserve">
《紫阳县通村客运经营补助管理办法（试行）》  紫政办发（2019）78号</t>
        </r>
      </text>
    </comment>
  </commentList>
</comments>
</file>

<file path=xl/comments4.xml><?xml version="1.0" encoding="utf-8"?>
<comments xmlns="http://schemas.openxmlformats.org/spreadsheetml/2006/main">
  <authors>
    <author>Administrator</author>
  </authors>
  <commentList>
    <comment ref="L8" authorId="0">
      <text>
        <r>
          <rPr>
            <b/>
            <sz val="9"/>
            <rFont val="宋体"/>
            <charset val="134"/>
          </rPr>
          <t>Administrator:</t>
        </r>
        <r>
          <rPr>
            <sz val="9"/>
            <rFont val="宋体"/>
            <charset val="134"/>
          </rPr>
          <t xml:space="preserve">
用于541国道安置楼代建工程项目资金1000万元，北沟口至双安沔浴河公路拆迁700万元，蒿坪镇重点镇建设500万元</t>
        </r>
      </text>
    </comment>
  </commentList>
</comments>
</file>

<file path=xl/comments5.xml><?xml version="1.0" encoding="utf-8"?>
<comments xmlns="http://schemas.openxmlformats.org/spreadsheetml/2006/main">
  <authors>
    <author>Administrator</author>
  </authors>
  <commentList>
    <comment ref="L4" authorId="0">
      <text>
        <r>
          <rPr>
            <b/>
            <sz val="9"/>
            <rFont val="宋体"/>
            <charset val="134"/>
          </rPr>
          <t>Administrator:</t>
        </r>
        <r>
          <rPr>
            <sz val="9"/>
            <rFont val="宋体"/>
            <charset val="134"/>
          </rPr>
          <t xml:space="preserve">
用于541国道安置楼代建工程项目资金1000万元，北沟口至双安沔浴河公路拆迁700万元，蒿坪镇重点镇建设500万元</t>
        </r>
      </text>
    </comment>
  </commentList>
</comments>
</file>

<file path=xl/sharedStrings.xml><?xml version="1.0" encoding="utf-8"?>
<sst xmlns="http://schemas.openxmlformats.org/spreadsheetml/2006/main" count="928" uniqueCount="680">
  <si>
    <t>紫阳县2020年财政预算调整表</t>
  </si>
  <si>
    <t>编制完成日期：2020年12月18日</t>
  </si>
  <si>
    <t>政府审定日期：2020年12月28日</t>
  </si>
  <si>
    <t>人大通过日期：2020年12月29日</t>
  </si>
  <si>
    <t>目    录</t>
  </si>
  <si>
    <t>表一：</t>
  </si>
  <si>
    <t>紫阳县2020年一般公共预算收支调整总表…………………………………………1-4</t>
  </si>
  <si>
    <t>表二：</t>
  </si>
  <si>
    <t>紫阳县2020年一般公共预算收支简表………………………………………………5-6</t>
  </si>
  <si>
    <t>表三：</t>
  </si>
  <si>
    <t>紫阳县2020年一般公共预算专项预算调整明细表…………………………………7-8</t>
  </si>
  <si>
    <t>表四：</t>
  </si>
  <si>
    <t>紫阳县2020年一般公共预算民生工程项目配套预算调整明细表………………9-12</t>
  </si>
  <si>
    <t>表五：</t>
  </si>
  <si>
    <t>紫阳县2020年政府性基金预算收支调整表（功能分类）…………………………13</t>
  </si>
  <si>
    <t>表六：</t>
  </si>
  <si>
    <t>紫阳县2020年政府性基金预算收支调整表（结构分类）…………………………14</t>
  </si>
  <si>
    <t>表七：</t>
  </si>
  <si>
    <t>紫阳县2020年社会保险基金预算收支调整表……………………………………15-16</t>
  </si>
  <si>
    <t>表八：</t>
  </si>
  <si>
    <t>紫阳县2020年国有资本经营预算收支调整表………………………………………17</t>
  </si>
  <si>
    <t>表九：</t>
  </si>
  <si>
    <t>紫阳县2020年新增政府债券资金使用方案…………………………………………18</t>
  </si>
  <si>
    <t>表十：</t>
  </si>
  <si>
    <t>紫阳县2020年抗疫特别国债资金使用方案…………………………………………19</t>
  </si>
  <si>
    <t>紫阳县2020年一般公共预算收支调整总表</t>
  </si>
  <si>
    <t>表一</t>
  </si>
  <si>
    <t>单位：万元</t>
  </si>
  <si>
    <t>收入部分</t>
  </si>
  <si>
    <t>2019年    年初  预算数</t>
  </si>
  <si>
    <t>2019年调整  预算数</t>
  </si>
  <si>
    <t>2019年    执行数</t>
  </si>
  <si>
    <t>执行  占调整   预算%</t>
  </si>
  <si>
    <t>2020年    预算数</t>
  </si>
  <si>
    <t>1-11月   执行数</t>
  </si>
  <si>
    <t>调增
调减数</t>
  </si>
  <si>
    <t>调整后   预算数</t>
  </si>
  <si>
    <t>支出部分</t>
  </si>
  <si>
    <t>2019年    年初    预算数</t>
  </si>
  <si>
    <t>2019年 调整    预算数</t>
  </si>
  <si>
    <t>执行    占调整   预算%</t>
  </si>
  <si>
    <t>2020年   预算数</t>
  </si>
  <si>
    <t>其中：</t>
  </si>
  <si>
    <t>1-11月执行数</t>
  </si>
  <si>
    <t>调整后预算数</t>
  </si>
  <si>
    <t>同口径比上年执行增长%</t>
  </si>
  <si>
    <t>调整后  预算数</t>
  </si>
  <si>
    <t>部门    预算数</t>
  </si>
  <si>
    <t>专项   预算数</t>
  </si>
  <si>
    <t>一、地方财政收入</t>
  </si>
  <si>
    <t>一、机关事业单位工资、福利及退休费支出</t>
  </si>
  <si>
    <t>1、税收收入</t>
  </si>
  <si>
    <t>其中:在职人员工资及津补贴</t>
  </si>
  <si>
    <t>其中: 增值税</t>
  </si>
  <si>
    <t xml:space="preserve">     离退休费及福利补助</t>
  </si>
  <si>
    <t xml:space="preserve">      资源税</t>
  </si>
  <si>
    <t xml:space="preserve">     机关事业单位养老保险财政配套</t>
  </si>
  <si>
    <t xml:space="preserve">      房产税</t>
  </si>
  <si>
    <t xml:space="preserve">     机关事业单位职业年金财政配套（县医院、中医院）</t>
  </si>
  <si>
    <t xml:space="preserve">      城镇土地使用税</t>
  </si>
  <si>
    <t xml:space="preserve">     对机关事业单位基本养老保险基金收支缺口的补助</t>
  </si>
  <si>
    <t xml:space="preserve">      企业所得税</t>
  </si>
  <si>
    <t xml:space="preserve">     “中人”退休及调出本县人员职业年金记实</t>
  </si>
  <si>
    <t xml:space="preserve">      个人所得税</t>
  </si>
  <si>
    <t xml:space="preserve">     取暖费和降温费</t>
  </si>
  <si>
    <t xml:space="preserve">      城市维护建设税</t>
  </si>
  <si>
    <t xml:space="preserve">     新增调资及抚恤金</t>
  </si>
  <si>
    <t xml:space="preserve">      印花税</t>
  </si>
  <si>
    <t xml:space="preserve">     其他人员补助</t>
  </si>
  <si>
    <t xml:space="preserve">      土地增值税</t>
  </si>
  <si>
    <t xml:space="preserve">     优秀公务员奖励</t>
  </si>
  <si>
    <t xml:space="preserve">      车船税</t>
  </si>
  <si>
    <t xml:space="preserve">     职工医疗保险配套</t>
  </si>
  <si>
    <t xml:space="preserve">      烟叶税</t>
  </si>
  <si>
    <t xml:space="preserve">     工伤、生育及失业保险</t>
  </si>
  <si>
    <t xml:space="preserve">      耕地占用税</t>
  </si>
  <si>
    <t xml:space="preserve">     机关事业单位医疗补助</t>
  </si>
  <si>
    <t xml:space="preserve">      契税</t>
  </si>
  <si>
    <t>　　 住房公积金配套</t>
  </si>
  <si>
    <t xml:space="preserve">      环境保护税</t>
  </si>
  <si>
    <t>　　 离休干部医疗费</t>
  </si>
  <si>
    <t>2、非税收入</t>
  </si>
  <si>
    <t xml:space="preserve">     乡镇干部工作补贴</t>
  </si>
  <si>
    <t>其中：专项收入</t>
  </si>
  <si>
    <t xml:space="preserve">     机关事业单位交通补贴</t>
  </si>
  <si>
    <t xml:space="preserve">        其中:教育费附加收入</t>
  </si>
  <si>
    <t>二、机关事业单位工作经费支出</t>
  </si>
  <si>
    <t xml:space="preserve">             地方教育附加收入</t>
  </si>
  <si>
    <t>（一）一般公务运转经费</t>
  </si>
  <si>
    <t xml:space="preserve">             水利建设专项收入</t>
  </si>
  <si>
    <t xml:space="preserve">     公务运行经费</t>
  </si>
  <si>
    <t xml:space="preserve">             残疾人就业保障金收入</t>
  </si>
  <si>
    <t xml:space="preserve">     机关维修购置经费</t>
  </si>
  <si>
    <t xml:space="preserve">             森林植被恢复费</t>
  </si>
  <si>
    <t xml:space="preserve">     会议费</t>
  </si>
  <si>
    <t xml:space="preserve">             其他专项收入</t>
  </si>
  <si>
    <t>（二）专项工作经费</t>
  </si>
  <si>
    <t xml:space="preserve">    国有资源（资产）有偿使用收入</t>
  </si>
  <si>
    <t xml:space="preserve">     县级部门专项业务经费</t>
  </si>
  <si>
    <t xml:space="preserve">    行政事业性收费收入</t>
  </si>
  <si>
    <t xml:space="preserve">     镇级专项业务经费</t>
  </si>
  <si>
    <t>　　罚没收入</t>
  </si>
  <si>
    <t xml:space="preserve">     行政专项经费</t>
  </si>
  <si>
    <t xml:space="preserve">    公共租赁住房租金收入</t>
  </si>
  <si>
    <t xml:space="preserve">     信息化建设经费</t>
  </si>
  <si>
    <t xml:space="preserve">    其他收入</t>
  </si>
  <si>
    <t xml:space="preserve">     党建经费</t>
  </si>
  <si>
    <t>二、上级补助收入</t>
  </si>
  <si>
    <t xml:space="preserve">     宣传经费</t>
  </si>
  <si>
    <t>1、返还性收入</t>
  </si>
  <si>
    <t xml:space="preserve">     收入征管业务费</t>
  </si>
  <si>
    <t>其中:消费税和增值税税收返还收入</t>
  </si>
  <si>
    <t>三、村级组织及社区补助支出</t>
  </si>
  <si>
    <t xml:space="preserve">     所得税基数返还收入</t>
  </si>
  <si>
    <t>四、民生工程支出</t>
  </si>
  <si>
    <t xml:space="preserve">     营改增基数返还收入</t>
  </si>
  <si>
    <t>其中:消除贫困工程</t>
  </si>
  <si>
    <t>2、一般性转移支付收入</t>
  </si>
  <si>
    <t xml:space="preserve">     产业发展工程</t>
  </si>
  <si>
    <t>其中：均衡性转移支付收入</t>
  </si>
  <si>
    <t xml:space="preserve">     全民社保工程</t>
  </si>
  <si>
    <t xml:space="preserve">     均衡性转移支付（脱贫攻坚补助）</t>
  </si>
  <si>
    <t xml:space="preserve">     教育提升工程</t>
  </si>
  <si>
    <t xml:space="preserve">     特殊转移支付</t>
  </si>
  <si>
    <t xml:space="preserve">     卫生健康工程</t>
  </si>
  <si>
    <t xml:space="preserve">     重点生态功能区转移支付收入</t>
  </si>
  <si>
    <t xml:space="preserve">     文化科技工程</t>
  </si>
  <si>
    <t xml:space="preserve">     县级基本财力保障机制奖补资金收入</t>
  </si>
  <si>
    <t xml:space="preserve">     改善环境工程</t>
  </si>
  <si>
    <t xml:space="preserve">     激励性转移支付补助</t>
  </si>
  <si>
    <t xml:space="preserve">     促进就业工程</t>
  </si>
  <si>
    <t xml:space="preserve">     体制补助收入</t>
  </si>
  <si>
    <t xml:space="preserve">     生产服务工程</t>
  </si>
  <si>
    <t xml:space="preserve">     调整工资转移支付补助收入</t>
  </si>
  <si>
    <t>五、社会事务管理支出</t>
  </si>
  <si>
    <t xml:space="preserve">     艰苦边远地区转移支付补助收入</t>
  </si>
  <si>
    <t>其中:城市创建经费</t>
  </si>
  <si>
    <t xml:space="preserve">     农村税费改革补助收入</t>
  </si>
  <si>
    <t>　　 公共安全与维稳经费</t>
  </si>
  <si>
    <t xml:space="preserve">     村级组织运转经费补助</t>
  </si>
  <si>
    <t>六、经济建设支出</t>
  </si>
  <si>
    <t xml:space="preserve">     天保工程减收补助</t>
  </si>
  <si>
    <t>（一）招商引资</t>
  </si>
  <si>
    <t xml:space="preserve">     退耕还林减收补助</t>
  </si>
  <si>
    <t>（二）项目前期费</t>
  </si>
  <si>
    <t xml:space="preserve">     固投税减收补助</t>
  </si>
  <si>
    <t>（三）电子商务产业发展</t>
  </si>
  <si>
    <t xml:space="preserve">     省对下体制调整基数返还</t>
  </si>
  <si>
    <t>（四）中小微企业扶持</t>
  </si>
  <si>
    <t xml:space="preserve">     义务教育学校教师绩效工资补助</t>
  </si>
  <si>
    <t>（五）文旅产业</t>
  </si>
  <si>
    <t xml:space="preserve">     基层医疗卫生单位绩效工资补助</t>
  </si>
  <si>
    <t>（六）城镇基础设施建设</t>
  </si>
  <si>
    <t xml:space="preserve">     企事业单位预算划转补助收入</t>
  </si>
  <si>
    <t>其中:县城及集镇规划</t>
  </si>
  <si>
    <t xml:space="preserve">     困难县一次性财力补助</t>
  </si>
  <si>
    <t xml:space="preserve">     县城基础设施建设及维护</t>
  </si>
  <si>
    <t xml:space="preserve">     结算补助</t>
  </si>
  <si>
    <t xml:space="preserve">     乡镇公共设施维护及环卫</t>
  </si>
  <si>
    <t xml:space="preserve">     其他财力性补助（预计数）</t>
  </si>
  <si>
    <t xml:space="preserve">     县城街道环卫补助</t>
  </si>
  <si>
    <t>3、专项转移支付收入</t>
  </si>
  <si>
    <t>（七）县级重点项目建设</t>
  </si>
  <si>
    <t>其中:一般公共服务</t>
  </si>
  <si>
    <t>七、政府购买服务专项</t>
  </si>
  <si>
    <t xml:space="preserve">     国防</t>
  </si>
  <si>
    <t>八、脱贫攻坚专项工作经费</t>
  </si>
  <si>
    <t xml:space="preserve">     公共安全</t>
  </si>
  <si>
    <t>九、国有公司资本金及风险补偿金</t>
  </si>
  <si>
    <t xml:space="preserve">     教育</t>
  </si>
  <si>
    <t>十、收支两条线及国有资产处置支出</t>
  </si>
  <si>
    <t xml:space="preserve">     科学技术</t>
  </si>
  <si>
    <t>十一、政府综合目标考核奖</t>
  </si>
  <si>
    <t xml:space="preserve">     文化旅游体育与传媒</t>
  </si>
  <si>
    <t>十二、政府债券利息及其他债务准备金支出</t>
  </si>
  <si>
    <t xml:space="preserve">     社会保障和就业</t>
  </si>
  <si>
    <t>九、财信担保公司资本金</t>
  </si>
  <si>
    <t>十三、债券发行费支出</t>
  </si>
  <si>
    <t xml:space="preserve">     卫生健康</t>
  </si>
  <si>
    <t>县本级支出合计</t>
  </si>
  <si>
    <t xml:space="preserve">     节能环保</t>
  </si>
  <si>
    <t>上级专款支出</t>
  </si>
  <si>
    <t xml:space="preserve">     城乡社区</t>
  </si>
  <si>
    <t xml:space="preserve">    其中：当年上级专款支出</t>
  </si>
  <si>
    <t xml:space="preserve">     农林水</t>
  </si>
  <si>
    <t>十三、债务发行费支出</t>
  </si>
  <si>
    <t xml:space="preserve">         结转上年上级专款支出</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</si>
  <si>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</si>
  <si>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</si>
  <si>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</si>
  <si>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</si>
  <si>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</si>
  <si>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</si>
  <si>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</si>
  <si>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</si>
  <si>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 xml:space="preserve">     其他收入</t>
  </si>
  <si>
    <t>三、上年结余收入</t>
  </si>
  <si>
    <t>四、调入资金</t>
  </si>
  <si>
    <t>其中：调入预算稳定调节基金</t>
  </si>
  <si>
    <t xml:space="preserve">      政府性基金预算调入</t>
  </si>
  <si>
    <t xml:space="preserve">      抗疫特别国债</t>
  </si>
  <si>
    <t xml:space="preserve">      国有资本经营预算调入</t>
  </si>
  <si>
    <t xml:space="preserve">      调入其他资金</t>
  </si>
  <si>
    <t>五、债务转贷收入</t>
  </si>
  <si>
    <t>其中：转贷新增一般债券收入</t>
  </si>
  <si>
    <t xml:space="preserve">      转贷置换一般债券收入</t>
  </si>
  <si>
    <t>本年收入合计</t>
  </si>
  <si>
    <t>本年支出合计</t>
  </si>
  <si>
    <t>上解支出</t>
  </si>
  <si>
    <t>政府债券还本支出</t>
  </si>
  <si>
    <t>安排预算稳定调节基金</t>
  </si>
  <si>
    <t>收入合计</t>
  </si>
  <si>
    <t>支出合计</t>
  </si>
  <si>
    <t>当  年  结  余</t>
  </si>
  <si>
    <t>收  入  总  计</t>
  </si>
  <si>
    <t>支  出  总  计</t>
  </si>
  <si>
    <t>公产中心</t>
  </si>
  <si>
    <t>往来户</t>
  </si>
  <si>
    <t>集散户</t>
  </si>
  <si>
    <t>收入专户</t>
  </si>
  <si>
    <t>惠农专户</t>
  </si>
  <si>
    <t>行政</t>
  </si>
  <si>
    <t>罚没</t>
  </si>
  <si>
    <t>国资</t>
  </si>
  <si>
    <t>住房</t>
  </si>
  <si>
    <t>紫阳县2020年一般公共预算收支简表</t>
  </si>
  <si>
    <t>表二</t>
  </si>
  <si>
    <t>调整后    预算数</t>
  </si>
  <si>
    <t>1-11月    执行数</t>
  </si>
  <si>
    <t>调整后 预算数</t>
  </si>
  <si>
    <t>本级支出</t>
  </si>
  <si>
    <t>专项</t>
  </si>
  <si>
    <t>民生配套</t>
  </si>
  <si>
    <t>专款</t>
  </si>
  <si>
    <t>本级   预算   支出</t>
  </si>
  <si>
    <t>中省     专款   支出</t>
  </si>
  <si>
    <t>本级     预算      支出</t>
  </si>
  <si>
    <t>中省       专款      支出</t>
  </si>
  <si>
    <t>小计</t>
  </si>
  <si>
    <t>部门预算</t>
  </si>
  <si>
    <t>专项及  民生</t>
  </si>
  <si>
    <t>手续费发行费及付息</t>
  </si>
  <si>
    <t>收支两条线</t>
  </si>
  <si>
    <t>考核奖</t>
  </si>
  <si>
    <t>资本金</t>
  </si>
  <si>
    <t>脱贫攻坚专项工作</t>
  </si>
  <si>
    <t>政府购买服务</t>
  </si>
  <si>
    <t>重点项目</t>
  </si>
  <si>
    <t>城市规划及维护</t>
  </si>
  <si>
    <t>文旅产业</t>
  </si>
  <si>
    <t>中小企业</t>
  </si>
  <si>
    <t>电子商务及招商</t>
  </si>
  <si>
    <t>项目前期</t>
  </si>
  <si>
    <t>社会事务</t>
  </si>
  <si>
    <t>行政经费</t>
  </si>
  <si>
    <t>人员</t>
  </si>
  <si>
    <t>消除贫困</t>
  </si>
  <si>
    <t>产业发展</t>
  </si>
  <si>
    <t>社会保障</t>
  </si>
  <si>
    <t>教育</t>
  </si>
  <si>
    <t>卫生</t>
  </si>
  <si>
    <t>文化</t>
  </si>
  <si>
    <t>环保</t>
  </si>
  <si>
    <t>后扶</t>
  </si>
  <si>
    <t>生产</t>
  </si>
  <si>
    <t>总指标</t>
  </si>
  <si>
    <t>预算数</t>
  </si>
  <si>
    <t>平衡预算</t>
  </si>
  <si>
    <t>涉农整合</t>
  </si>
  <si>
    <t>涉农整合调整科目</t>
  </si>
  <si>
    <t>其他支出调整科目</t>
  </si>
  <si>
    <t>调整支出科目</t>
  </si>
  <si>
    <t>预算数  小计</t>
  </si>
  <si>
    <t>专款决算数</t>
  </si>
  <si>
    <t>原预算</t>
  </si>
  <si>
    <t>一、一般公共服务支出</t>
  </si>
  <si>
    <t>1、税务部门</t>
  </si>
  <si>
    <t>二、外交支出</t>
  </si>
  <si>
    <t>2、财政部门</t>
  </si>
  <si>
    <t>三、国防支出</t>
  </si>
  <si>
    <t>四、公共安全支出</t>
  </si>
  <si>
    <t>五、教育支出</t>
  </si>
  <si>
    <t>六、科学技术支出</t>
  </si>
  <si>
    <t>七、文化旅游体育与传媒支出</t>
  </si>
  <si>
    <t>八、社会保障和就业支出</t>
  </si>
  <si>
    <t>九、卫生健康支出</t>
  </si>
  <si>
    <t>其中：预算稳定调节基金调入</t>
  </si>
  <si>
    <t>十、节能环保支出</t>
  </si>
  <si>
    <t xml:space="preserve">      政府性基金调入</t>
  </si>
  <si>
    <t xml:space="preserve">十一、城乡社区支出 </t>
  </si>
  <si>
    <t>十二、农林水支出</t>
  </si>
  <si>
    <t>十三、交通运输支出</t>
  </si>
  <si>
    <t xml:space="preserve">      调入其他资金 </t>
  </si>
  <si>
    <t>十四、资源勘探信息等支出</t>
  </si>
  <si>
    <t>五、债券转贷收入</t>
  </si>
  <si>
    <t>十五、商业服务业等支出</t>
  </si>
  <si>
    <t>十六、金融支出</t>
  </si>
  <si>
    <t>十七、自然资源海洋气象等支出</t>
  </si>
  <si>
    <t>十八、住房保障支出</t>
  </si>
  <si>
    <t>十九、粮油物资储备支出</t>
  </si>
  <si>
    <t>二十、灾害防治及应急管理支出</t>
  </si>
  <si>
    <t>二十一、其他支出</t>
  </si>
  <si>
    <t>二十二、债务付息支出</t>
  </si>
  <si>
    <t>二十三、债务发行费用支出</t>
  </si>
  <si>
    <t>　　专项上解支出</t>
  </si>
  <si>
    <t>预算稳定调节基金</t>
  </si>
  <si>
    <t>紫阳县2020年一般公共预算专项预算调整明细表</t>
  </si>
  <si>
    <t>表三</t>
  </si>
  <si>
    <t xml:space="preserve">                                  单位：万元</t>
  </si>
  <si>
    <t>项            目</t>
  </si>
  <si>
    <t>2020年     预算数</t>
  </si>
  <si>
    <t>1-11月     执行数</t>
  </si>
  <si>
    <t>调增  
调减数</t>
  </si>
  <si>
    <t>备                 注</t>
  </si>
  <si>
    <t>合            计</t>
  </si>
  <si>
    <t>一、人员工资及福利支出</t>
  </si>
  <si>
    <t xml:space="preserve">  1、预计新增人员及调资</t>
  </si>
  <si>
    <t xml:space="preserve">  2、抚恤金</t>
  </si>
  <si>
    <t xml:space="preserve">  3、优秀公务员奖励</t>
  </si>
  <si>
    <t xml:space="preserve">  4、离休干部医疗费</t>
  </si>
  <si>
    <t xml:space="preserve">  5、对机关事业单位基本养老保险基金收支缺口的补助</t>
  </si>
  <si>
    <t xml:space="preserve">  6、“中人”退休及调出本县人员职业年金记实</t>
  </si>
  <si>
    <t xml:space="preserve">  7、乡镇工作补贴提标</t>
  </si>
  <si>
    <t xml:space="preserve">  1、信息化建设经费</t>
  </si>
  <si>
    <t xml:space="preserve">  2、机关维修购置经费</t>
  </si>
  <si>
    <t xml:space="preserve">  3、行政专项经费</t>
  </si>
  <si>
    <t xml:space="preserve">  4、党建经费</t>
  </si>
  <si>
    <t xml:space="preserve">  5、宣传经费</t>
  </si>
  <si>
    <t xml:space="preserve">  6、收入征管业务费</t>
  </si>
  <si>
    <t>三、社会事务管理</t>
  </si>
  <si>
    <t xml:space="preserve">  1、城市创建经费</t>
  </si>
  <si>
    <t>市县联动省级生态文明建设示范市、全国综治优秀市、省级文明城市、创建省级生态园林县城、省级生态文明建设示范县、巩固提升国家卫生县城、国家森林城市水平。</t>
  </si>
  <si>
    <t xml:space="preserve">  2、公共安全与维稳经费</t>
  </si>
  <si>
    <t>公共安全、综治维稳、安全生产等。</t>
  </si>
  <si>
    <t>四、招商引资</t>
  </si>
  <si>
    <t>招商项目包装、评审、推介、引进、服务等。</t>
  </si>
  <si>
    <t>五、项目前期费</t>
  </si>
  <si>
    <t>含河湖划界500万元。</t>
  </si>
  <si>
    <t>六、电子商务产业发展</t>
  </si>
  <si>
    <t>电子商务产业发展。</t>
  </si>
  <si>
    <t>七、中小微企业扶持</t>
  </si>
  <si>
    <t>中小微企业产业扶持、企业品牌建设、新社区工厂培育、市场开发等。</t>
  </si>
  <si>
    <t>八、文旅产业</t>
  </si>
  <si>
    <t>九、城镇基础设施建设</t>
  </si>
  <si>
    <t xml:space="preserve">  1、县城及集镇规划</t>
  </si>
  <si>
    <t xml:space="preserve">  2、县城基础设施建设及维护</t>
  </si>
  <si>
    <t>十、重点项目建设</t>
  </si>
  <si>
    <t>硒产业科技孵化中心项目450万元、三岔路治理800万元。</t>
  </si>
  <si>
    <t>月半湾1238万元、三岔路治理800万元。</t>
  </si>
  <si>
    <t>十一、政府购买服务专项</t>
  </si>
  <si>
    <t>政府户户通购买服务、审计中介服务等。</t>
  </si>
  <si>
    <t>十二、脱贫攻坚专项经费</t>
  </si>
  <si>
    <t>十三、国有公司资本金及风险补偿金</t>
  </si>
  <si>
    <t>财信担保公司风险补偿金500万元；农村产业发展投资有限公司资本金300万元；陕西省紫阳茶业发展有限公司注册资本金100万元。</t>
  </si>
  <si>
    <t>财信担保公司资本金1000万元、城投公司资本金3000万元、陕西省紫阳茶业发展有限公司注册资本金100万元</t>
  </si>
  <si>
    <t>十四、收支两条线及国有资产处置支出</t>
  </si>
  <si>
    <t>十五、政府综合目标考核奖</t>
  </si>
  <si>
    <t>十六、政府债务本金利息及其他债务准备金支出</t>
  </si>
  <si>
    <t>应付本年度到期债券利息8390.22万元；应付建档立卡贫困村融资贷款利息794.78万元；中医院贷款贴息50万元。</t>
  </si>
  <si>
    <t>十七、发行费及手续费</t>
  </si>
  <si>
    <t>紫阳县2020年一般公共预算民生工程项目配套预算调整明细表</t>
  </si>
  <si>
    <t>表四</t>
  </si>
  <si>
    <t xml:space="preserve">                                       单位：万元</t>
  </si>
  <si>
    <t>项     目</t>
  </si>
  <si>
    <t>2020年预算数</t>
  </si>
  <si>
    <t>调整后     预算数</t>
  </si>
  <si>
    <t>备   注</t>
  </si>
  <si>
    <t>合     计</t>
  </si>
  <si>
    <t>一、消除贫困工程</t>
  </si>
  <si>
    <t xml:space="preserve">  1、脱贫攻坚、乡村振兴</t>
  </si>
  <si>
    <t xml:space="preserve">  2、县本级财政专项扶贫</t>
  </si>
  <si>
    <t>县本级扶贫专项配套资金6645万元，较上年增长30%。</t>
  </si>
  <si>
    <t xml:space="preserve">  3、贫困村第一书记和脱贫攻坚工作队工作经费</t>
  </si>
  <si>
    <t xml:space="preserve">  4、建档立卡农村贫困人口参加新合疗个人缴费补助</t>
  </si>
  <si>
    <t>建档立卡贫困户人口133057人（70元/人/年），省市县45:10:15比例分担，县级承担200万元。</t>
  </si>
  <si>
    <t xml:space="preserve">  5、建档立卡贫困人口补充医疗保障补助</t>
  </si>
  <si>
    <t>建档立卡贫困户人口133057人（70元/人/年），省市县30:14:56比例分担，县级承担543万元。</t>
  </si>
  <si>
    <t>二、产业发展工程</t>
  </si>
  <si>
    <t xml:space="preserve">  1、茶叶产业建设</t>
  </si>
  <si>
    <t>茶叶宣传推介、茶叶产业发展、富硒茶品种研发、富硒产业示范园区创建、富硒茶叶品牌建设资金。</t>
  </si>
  <si>
    <t xml:space="preserve">  2、烤烟生产发展</t>
  </si>
  <si>
    <t>根据各镇2019年烟叶税征收情况安排，用于扶持烤烟产业。</t>
  </si>
  <si>
    <t xml:space="preserve">  3、其他农业主导产业建设</t>
  </si>
  <si>
    <t>魔芋、畜牧、蔬菜等产业建设；富硒农业科技示范园；地方特色品种选育开发及推广；油菜、水稻、玉米种植保险配套；富硒产业品牌建设资金。</t>
  </si>
  <si>
    <t>三、社会保障工程</t>
  </si>
  <si>
    <t xml:space="preserve">  1、高龄老人补助</t>
  </si>
  <si>
    <t xml:space="preserve">  2、义务兵家庭优待金</t>
  </si>
  <si>
    <t xml:space="preserve">  3、自主就业退役士兵一次性经济补助</t>
  </si>
  <si>
    <t xml:space="preserve">  4、城乡居民基本医疗保险</t>
  </si>
  <si>
    <t>人均49.5元，计302849人。</t>
  </si>
  <si>
    <t xml:space="preserve">  5、城乡居民社会养老保险个人缴费财政补贴</t>
  </si>
  <si>
    <t xml:space="preserve">  6、城乡居民社会养老保险到龄城乡居民发放基础养老金</t>
  </si>
  <si>
    <t xml:space="preserve">  7、城乡居民社会养老保险财政对农村籍军队退役两参人员个人缴费的补贴</t>
  </si>
  <si>
    <t xml:space="preserve">  8、城乡居民社会养老保险领取待遇人员死亡一次性丧葬费补助</t>
  </si>
  <si>
    <t xml:space="preserve">  9、八大员工龄补贴</t>
  </si>
  <si>
    <t xml:space="preserve">  10、财政对农村贫困户个人缴纳养老保险的补贴</t>
  </si>
  <si>
    <t xml:space="preserve">  11、环卫工人社会保险县级财政配套</t>
  </si>
  <si>
    <t xml:space="preserve">  12、残疾人事业</t>
  </si>
  <si>
    <t>残疾人事业包括残疾人保障金、残疾人专职委员工作补贴、残疾人生活补贴和重度残疾人护理补贴四部分，四项合计共需县级配套1254万元。1、残疾人保障金25万元，用于发展残疾人事业，残疾人就业培训、生活救助、医疗康复、扶贫、特殊教育、无障碍工作等方面；2、残疾人专职委员工作补贴经费72万元，全县残疾人专职委员301人，每人不低于200元/月计算，共需资金72万元，县级补助29万元；3、残疾人生活补贴、重度残疾人护理补贴两项补贴1200万元。</t>
  </si>
  <si>
    <t xml:space="preserve">  13、救灾应急准备金</t>
  </si>
  <si>
    <t xml:space="preserve">  14、妇女儿童救助</t>
  </si>
  <si>
    <t>“妇女人均一元钱”专项工作经费，贫困妇女“两癌”救助、贫困妇女儿童救助、维权救助、儿童成长家园建设、民办托幼园所补助、“妇女之家”建设、妇女手工艺品扶持七大妇女儿童民生项目。</t>
  </si>
  <si>
    <t xml:space="preserve">  15、其他社会保障</t>
  </si>
  <si>
    <t>未达年龄退休人员医保20万元；段煤双退人员医疗20万元。</t>
  </si>
  <si>
    <t xml:space="preserve">  16、政府救助综合责任保险</t>
  </si>
  <si>
    <t>《关于安康市政府救助综合责任保险工作实施方案》（安政办发[2017]10号）按照户籍人口每人1.5元，县级承担90%、市级承担10%。</t>
  </si>
  <si>
    <t>四、教育提升工程</t>
  </si>
  <si>
    <t xml:space="preserve">  1、城乡义务教育公用经费</t>
  </si>
  <si>
    <t xml:space="preserve">  2、义务教育家庭经济困难学生生活补助</t>
  </si>
  <si>
    <t>上级按在校寄宿生70%测算补助人数，资金来源中央50%，市级10%，县级40%；2019年秋季补助小学寄宿生916人，非寄宿生8114人，2020年全年寄宿生按1100人预算，非寄宿生按8300人预算。2019年秋季补助初中寄宿生3035人，非寄宿生2479人，2020年全年寄宿生按3500人预算，非寄宿生按2600人预算。</t>
  </si>
  <si>
    <t xml:space="preserve">  3、高中免学费补助公用经费</t>
  </si>
  <si>
    <t>2019年秋季在校生5843人，2020年按年平均6000人计算，2400元/人/年，中省50%、县50%；。</t>
  </si>
  <si>
    <t xml:space="preserve">  4、高中助学金</t>
  </si>
  <si>
    <t>普通高中国家助学金中、省、市县按8：1:1分担；上级按在校生30%测算，标准为2000元/生/年。按贫困程度分为两档，特困生2500元/生/年，一般贫困生1500元/生/年。2019年年报高中在校生5843人。2019年秋季实际发放一档293人，二档2496人，2020年全年平均按2900人，2500元/生/年预算。</t>
  </si>
  <si>
    <t xml:space="preserve">  5、职业教育</t>
  </si>
  <si>
    <t>1、职业教育免学费18万元（按公用经费1600元/生/年补助学校，其中：县级负担200元/生/年）；2、职业教育助学金4万元（按2000元/生/年，中央负担80%、省级负担16%、县级负担4%）；3、职业教育学生生活补助0.96万元（按30元/生/年，全年10个月补助学校，省级负担96%、县级负担4%，按800名在校学生计算）；4、贫困家庭中高职学生一次性资助资金97.5万元。</t>
  </si>
  <si>
    <t xml:space="preserve">  6、学前教育</t>
  </si>
  <si>
    <t>1、学前一年免保教费209万元；2、学前教育公用经费190万元；3、学前特殊教育生均公用经费3万元；4、贫困幼儿生活补助203万元（家庭困难幼儿生活补助标准750元/生/年）；5、民办普惠性幼儿园奖补268万元。</t>
  </si>
  <si>
    <t xml:space="preserve">  7、教育教学质量奖励</t>
  </si>
  <si>
    <t>教育提升补助资金430万元，教育教学奖励1000万元。</t>
  </si>
  <si>
    <t xml:space="preserve">  8、教师乡镇生活补贴</t>
  </si>
  <si>
    <t>2020年按1900人，408元/人/月，上级补助义务教育学校发放总额的50%，学前和高中由县级承担。</t>
  </si>
  <si>
    <t xml:space="preserve">  9、其他教育事业费</t>
  </si>
  <si>
    <t>公办幼儿园临聘人员90人（1000元/月/人），计108万元；公益性岗位94人（650元/月/人），计73.32万元。</t>
  </si>
  <si>
    <t xml:space="preserve">  10、教育督导经费</t>
  </si>
  <si>
    <t xml:space="preserve">  11、教育培训经费</t>
  </si>
  <si>
    <t xml:space="preserve">  12、双高双普</t>
  </si>
  <si>
    <t>教育附加安排用于中小学校校舍新建、改建、修缮和维护。</t>
  </si>
  <si>
    <t xml:space="preserve">  13、校园安保人员经费补助</t>
  </si>
  <si>
    <t xml:space="preserve">  14、教育附加安排的支出</t>
  </si>
  <si>
    <t>五、卫生健康工程</t>
  </si>
  <si>
    <t xml:space="preserve">  1、病媒生物防治</t>
  </si>
  <si>
    <t>病媒体生物防治消杀经费。</t>
  </si>
  <si>
    <t xml:space="preserve">  2、村卫生室补助</t>
  </si>
  <si>
    <t xml:space="preserve">  3、基层医疗卫生机构医疗责任保险</t>
  </si>
  <si>
    <t>基层医疗卫生机构医疗责任保险资金。</t>
  </si>
  <si>
    <t xml:space="preserve">  4、食品药品监管</t>
  </si>
  <si>
    <t>食品药品监管、食品药品违法举报奖励经费专项。</t>
  </si>
  <si>
    <t xml:space="preserve">  5、计划生育发展专项</t>
  </si>
  <si>
    <t xml:space="preserve">  6、计生专干、中心户长</t>
  </si>
  <si>
    <t xml:space="preserve">  7、城市独生子女父母补助金</t>
  </si>
  <si>
    <t xml:space="preserve">  8、农村独生子女保健费</t>
  </si>
  <si>
    <t xml:space="preserve">  9、计生贫困家庭创业奖补资金</t>
  </si>
  <si>
    <t xml:space="preserve">  10、失独家庭一次性补助</t>
  </si>
  <si>
    <t xml:space="preserve">  11、特别救助资金</t>
  </si>
  <si>
    <t>因重大意外造成困难的独生子女和双女户家庭及计划生育手术并发症家庭保障性特别救助。</t>
  </si>
  <si>
    <t xml:space="preserve">  12、孕产妇系统保健免费基本服务项目</t>
  </si>
  <si>
    <t>产前筛查和产前超声（3000元/人）。</t>
  </si>
  <si>
    <t xml:space="preserve">  13、免费技术服务</t>
  </si>
  <si>
    <t>免费技术服务、手术并发症治疗和生活补助。</t>
  </si>
  <si>
    <t xml:space="preserve">  14、免费婚前健康检查补助</t>
  </si>
  <si>
    <t xml:space="preserve">  15、医疗卫生机构健康扶贫</t>
  </si>
  <si>
    <t xml:space="preserve">  16、尘肺病医疗和生活保障</t>
  </si>
  <si>
    <t xml:space="preserve">  17、从业人员预防性健康体检</t>
  </si>
  <si>
    <t xml:space="preserve">  18、新冠肺炎防控经费</t>
  </si>
  <si>
    <t xml:space="preserve">  19、其他公共卫生</t>
  </si>
  <si>
    <t>六、文化科技工程</t>
  </si>
  <si>
    <t xml:space="preserve">  1、文化发展资金</t>
  </si>
  <si>
    <t>紫阳文化和非物质文化遗产挖掘、包装、开发、宣传、推介，文艺作品创作、人才培训、群众文体活动、文艺演出，政府购买公共文化服务资金，文化产业扶持资金，调频广播维护资金，文化产业品牌建设资金，“两馆”活动经费、文化及图书购置费。</t>
  </si>
  <si>
    <t xml:space="preserve">  2、科学技术研究与开发</t>
  </si>
  <si>
    <t xml:space="preserve">  3、科普专项经费</t>
  </si>
  <si>
    <t>科普宣传、惠农富民、社区和农民科普。</t>
  </si>
  <si>
    <t>七、环境保护工程</t>
  </si>
  <si>
    <t xml:space="preserve">  1、垃圾填埋场、污水处理厂运行及维护</t>
  </si>
  <si>
    <t xml:space="preserve">  2、环境综合整治</t>
  </si>
  <si>
    <t>生态红线划定勘界、建设用地报批勘测定界、汉江河道划界。</t>
  </si>
  <si>
    <t>八、促进就业工程</t>
  </si>
  <si>
    <t xml:space="preserve">    移民搬迁后续扶持</t>
  </si>
  <si>
    <t>移民搬迁就业后续扶持。</t>
  </si>
  <si>
    <t>九、生产服务工程</t>
  </si>
  <si>
    <t xml:space="preserve">  1、防汛抗旱</t>
  </si>
  <si>
    <t xml:space="preserve">  2、退耕还林及天保</t>
  </si>
  <si>
    <t xml:space="preserve">  3、森林防火</t>
  </si>
  <si>
    <t xml:space="preserve">  4、地质灾害防治</t>
  </si>
  <si>
    <t xml:space="preserve">  5、气象服务</t>
  </si>
  <si>
    <t>气象检测平台建设及车载式人影设备购置。</t>
  </si>
  <si>
    <t xml:space="preserve">  6、生态护林员补助</t>
  </si>
  <si>
    <t>2786名护林员工资（减去2019年预发1572名护林员2020年第一季度工资）。</t>
  </si>
  <si>
    <t xml:space="preserve">  7、动植物疫情防治（疫）</t>
  </si>
  <si>
    <t>松材线虫防治600万元。</t>
  </si>
  <si>
    <t xml:space="preserve">  8、电子消费券政府补助</t>
  </si>
  <si>
    <t>降低新冠肺炎疫情对消费市场影响。</t>
  </si>
  <si>
    <t xml:space="preserve">  9、农村供水工程维修基金</t>
  </si>
  <si>
    <t>全县农村常住人口30万人(2元/人/年）。</t>
  </si>
  <si>
    <t xml:space="preserve">  10、农村道路管护</t>
  </si>
  <si>
    <t>农村道路养护及公路保险。</t>
  </si>
  <si>
    <t xml:space="preserve">  11、通村客运经营补助 </t>
  </si>
  <si>
    <t>2019年通村客运车辆13辆（2万/辆/年）。</t>
  </si>
  <si>
    <t>紫阳县2020年政府性基金预算收支调整表（功能分类）</t>
  </si>
  <si>
    <t>表五</t>
  </si>
  <si>
    <t>政府性基金收入部分</t>
  </si>
  <si>
    <t>2019年调整   预算数</t>
  </si>
  <si>
    <t>2019年执行数</t>
  </si>
  <si>
    <t>执行     占调整   预算%</t>
  </si>
  <si>
    <t>1-11月  执行数</t>
  </si>
  <si>
    <t>政府性基金支出部分</t>
  </si>
  <si>
    <t>2019年调整      预算数</t>
  </si>
  <si>
    <t>2019年  执行数</t>
  </si>
  <si>
    <t>执行   占调整预算%</t>
  </si>
  <si>
    <t>一、县本级政府性基金收入</t>
  </si>
  <si>
    <t>一、社会保障和就业支出</t>
  </si>
  <si>
    <t>1、国有土地使用权出让收入</t>
  </si>
  <si>
    <t xml:space="preserve">    大中型水库移民后期扶持基金支出</t>
  </si>
  <si>
    <t>2、城市基础设施配套费收入</t>
  </si>
  <si>
    <t>二、城乡社区支出</t>
  </si>
  <si>
    <t>3、其他政府性基金收入</t>
  </si>
  <si>
    <t xml:space="preserve">    国有土地使用权出让收入安排的支出</t>
  </si>
  <si>
    <t>三、农林水支出</t>
  </si>
  <si>
    <t xml:space="preserve">   政府性基金转移收入</t>
  </si>
  <si>
    <t xml:space="preserve">    大中型水库库区基金安排的支出</t>
  </si>
  <si>
    <t xml:space="preserve">    　政府性基金补助收入</t>
  </si>
  <si>
    <t>四、其他支出</t>
  </si>
  <si>
    <t xml:space="preserve">    彩票公益金安排的支出</t>
  </si>
  <si>
    <t>四、债务转贷收入</t>
  </si>
  <si>
    <t>五、债务付息支出</t>
  </si>
  <si>
    <t xml:space="preserve">      地方政府债务收入</t>
  </si>
  <si>
    <t xml:space="preserve">    国有土地使用权出让金债务付息支出</t>
  </si>
  <si>
    <t xml:space="preserve">        专项债券收入                                </t>
  </si>
  <si>
    <t xml:space="preserve">    棚户区改造专项债券付息支出</t>
  </si>
  <si>
    <t>五、调入资金</t>
  </si>
  <si>
    <t>六、债务发行费用支出</t>
  </si>
  <si>
    <t>六、抗疫特别国债</t>
  </si>
  <si>
    <t xml:space="preserve">    国有土地使用权出让金债务发行费用支出</t>
  </si>
  <si>
    <t xml:space="preserve">    棚户区改造专项债券发行费用支出</t>
  </si>
  <si>
    <t>七、抗疫特别国债安排的支出</t>
  </si>
  <si>
    <t xml:space="preserve">    基础设施建设</t>
  </si>
  <si>
    <t xml:space="preserve">    抗疫相关支出</t>
  </si>
  <si>
    <t xml:space="preserve">   债务还本支出</t>
  </si>
  <si>
    <t xml:space="preserve">      专项债务还本支出</t>
  </si>
  <si>
    <t xml:space="preserve">   调出资金</t>
  </si>
  <si>
    <t xml:space="preserve">      抗疫特别国债调出资金</t>
  </si>
  <si>
    <t xml:space="preserve">   上解支出</t>
  </si>
  <si>
    <t xml:space="preserve">   年终结余</t>
  </si>
  <si>
    <t>收入总计</t>
  </si>
  <si>
    <t>支出总计</t>
  </si>
  <si>
    <t>紫阳县2020年政府性基金预算收支调整表（结构分类）</t>
  </si>
  <si>
    <t>表六</t>
  </si>
  <si>
    <t xml:space="preserve">         </t>
  </si>
  <si>
    <t>执行  占调整预算%</t>
  </si>
  <si>
    <t>一、征地和拆迁补偿支出</t>
  </si>
  <si>
    <t>其中：住建部门收入</t>
  </si>
  <si>
    <t>二、专项债券付息、发行费及手续费支出</t>
  </si>
  <si>
    <t xml:space="preserve">      国土部门收入</t>
  </si>
  <si>
    <t>三、棚户区改造支出</t>
  </si>
  <si>
    <t>二、上级政府性基金专款收入</t>
  </si>
  <si>
    <t>四、抗疫特别国债支出</t>
  </si>
  <si>
    <t xml:space="preserve">四、债券转贷收入                                </t>
  </si>
  <si>
    <t>政府性基金专款支出合计</t>
  </si>
  <si>
    <t xml:space="preserve">      新增专项债券收入</t>
  </si>
  <si>
    <t>其中：文化旅游体育与传媒支出</t>
  </si>
  <si>
    <t xml:space="preserve">      社会保障和就业支出</t>
  </si>
  <si>
    <t xml:space="preserve">      农林水支出</t>
  </si>
  <si>
    <t xml:space="preserve">      交通运输支出</t>
  </si>
  <si>
    <t xml:space="preserve">      其他支出</t>
  </si>
  <si>
    <t xml:space="preserve">      抗疫特别国债安排的支出</t>
  </si>
  <si>
    <t>紫阳县2020年社会保险基金预算收支调整表</t>
  </si>
  <si>
    <t>表七</t>
  </si>
  <si>
    <t>社保基金预算收入部分</t>
  </si>
  <si>
    <t>2019年    年初   预算数</t>
  </si>
  <si>
    <t>执行   占预算%</t>
  </si>
  <si>
    <t>2020年  预算数</t>
  </si>
  <si>
    <t>社保基金预算支出部分</t>
  </si>
  <si>
    <t>2019年    年初     预算数</t>
  </si>
  <si>
    <t>一、失业保险基金收入</t>
  </si>
  <si>
    <t>一、失业保险基金支出</t>
  </si>
  <si>
    <t>其中：县级财政配套</t>
  </si>
  <si>
    <t xml:space="preserve">   失业保险</t>
  </si>
  <si>
    <t xml:space="preserve">      个人缴费及其他</t>
  </si>
  <si>
    <t xml:space="preserve">  上解支出</t>
  </si>
  <si>
    <t xml:space="preserve">      上级补助收入</t>
  </si>
  <si>
    <t>二、工伤保险基金支出</t>
  </si>
  <si>
    <t xml:space="preserve">      上年结余收入</t>
  </si>
  <si>
    <t xml:space="preserve">   工伤保险</t>
  </si>
  <si>
    <t>二、工伤保险基金收入</t>
  </si>
  <si>
    <t>三、生育保险基金支出</t>
  </si>
  <si>
    <t xml:space="preserve">   生育保险</t>
  </si>
  <si>
    <t>四、职工基本医疗保险基金支出</t>
  </si>
  <si>
    <t xml:space="preserve"> </t>
  </si>
  <si>
    <t>五、城乡居民基本医疗保险基金支出</t>
  </si>
  <si>
    <t>三、生育保险基金收入</t>
  </si>
  <si>
    <t>其中：住院统筹基金支出</t>
  </si>
  <si>
    <t xml:space="preserve">      门诊统筹基金支出</t>
  </si>
  <si>
    <t xml:space="preserve">      门诊慢性病支出</t>
  </si>
  <si>
    <t xml:space="preserve">      大病统筹基金支出</t>
  </si>
  <si>
    <t>四、城镇职工基本医疗保险基金收入</t>
  </si>
  <si>
    <t xml:space="preserve">      大病保险费支出</t>
  </si>
  <si>
    <t xml:space="preserve">      风险金支出</t>
  </si>
  <si>
    <t>六、城乡居民基本养老保险基金支出</t>
  </si>
  <si>
    <t>其中：基础养老金支出</t>
  </si>
  <si>
    <t xml:space="preserve">     个人账户养老金支出</t>
  </si>
  <si>
    <t>五、城乡居民基本医疗保险基金收入</t>
  </si>
  <si>
    <t xml:space="preserve">     丧葬费支出</t>
  </si>
  <si>
    <t xml:space="preserve">     转移支出</t>
  </si>
  <si>
    <t>七、机关事业单位基本养老保险基金支出</t>
  </si>
  <si>
    <t xml:space="preserve">      风险金及利息</t>
  </si>
  <si>
    <t>六、城乡居民基本养老保险基金收入</t>
  </si>
  <si>
    <t>七、机关事业单位基本养老保险基金收入</t>
  </si>
  <si>
    <t xml:space="preserve">      机关事业单位基本养老保险基金收支缺口补助</t>
  </si>
  <si>
    <t>社会保险基金累计结余</t>
  </si>
  <si>
    <t>其中：失业保险基金结余</t>
  </si>
  <si>
    <t xml:space="preserve">      工伤保险基金结余</t>
  </si>
  <si>
    <t xml:space="preserve">      生育保险基金结余</t>
  </si>
  <si>
    <t xml:space="preserve">      城镇职工医疗保险基金结余</t>
  </si>
  <si>
    <t xml:space="preserve">      城乡居民基本医疗保险基金基金结余</t>
  </si>
  <si>
    <t xml:space="preserve">      城乡居民社会养老保险基金结余</t>
  </si>
  <si>
    <t xml:space="preserve">      机关事业单位基本养老保险基金结余</t>
  </si>
  <si>
    <t>紫阳县2020年国有资本经营预算收支调整表</t>
  </si>
  <si>
    <t>表八</t>
  </si>
  <si>
    <t>项   目</t>
  </si>
  <si>
    <t>2020年       预算数</t>
  </si>
  <si>
    <t>1-11月      执行数</t>
  </si>
  <si>
    <t>1-11月        执行数</t>
  </si>
  <si>
    <t>国有资本经营收入</t>
  </si>
  <si>
    <t>国有资本经营预算支出</t>
  </si>
  <si>
    <t xml:space="preserve">  利润收入</t>
  </si>
  <si>
    <t xml:space="preserve">  国有企业资本金注入</t>
  </si>
  <si>
    <t xml:space="preserve">  其他国有资本经营预算收入</t>
  </si>
  <si>
    <t xml:space="preserve">    国有经济结构调整支出</t>
  </si>
  <si>
    <t xml:space="preserve">  </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</si>
  <si>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</si>
  <si>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</si>
  <si>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</si>
  <si>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</si>
  <si>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</si>
  <si>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</si>
  <si>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</si>
  <si>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</si>
  <si>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转移性收入</t>
  </si>
  <si>
    <t>转移性支出</t>
  </si>
  <si>
    <t>调出资金</t>
  </si>
  <si>
    <t xml:space="preserve">  国有资本经营预算调出资金</t>
  </si>
  <si>
    <t>上年结余</t>
  </si>
  <si>
    <t>年终结余</t>
  </si>
  <si>
    <t>其中：净结余</t>
  </si>
  <si>
    <t>紫阳县2020年新增政府债券资金使用方案</t>
  </si>
  <si>
    <t>表九</t>
  </si>
  <si>
    <t>序号</t>
  </si>
  <si>
    <t>债券类型</t>
  </si>
  <si>
    <t>债券资金</t>
  </si>
  <si>
    <t>项目名称</t>
  </si>
  <si>
    <t>项目单位</t>
  </si>
  <si>
    <t>债券安排资金</t>
  </si>
  <si>
    <t>备 注</t>
  </si>
  <si>
    <t>一般债券</t>
  </si>
  <si>
    <t>其中：转贷新增一般债券</t>
  </si>
  <si>
    <t>易地扶贫搬迁项目</t>
  </si>
  <si>
    <t>县自然资源局</t>
  </si>
  <si>
    <t>10年期20916.92万元（年利率3.33%）、10年期102846.28万元（年利率2.94%）。</t>
  </si>
  <si>
    <t>归还以前年度承贷的易地扶贫搬迁融资贷款</t>
  </si>
  <si>
    <t>县搬迁公司</t>
  </si>
  <si>
    <t xml:space="preserve">      再融资一般债券</t>
  </si>
  <si>
    <t>置换2020年到期的债券债务</t>
  </si>
  <si>
    <t>10年期6000万元（年利率2.95%）、10年期330万元（年利率2.95%）、10年期3620万元（年利率3.04%）、5年期100万元（年利率3.02%）。</t>
  </si>
  <si>
    <t>专项债券</t>
  </si>
  <si>
    <t>紫阳县东城门、校场坝至石梁子棚户区改造项目</t>
  </si>
  <si>
    <t>县住建局</t>
  </si>
  <si>
    <t>5年期15000万元（年利率3.25%）。</t>
  </si>
  <si>
    <t>合   计</t>
  </si>
  <si>
    <t>紫阳县2020年抗疫特别国债资金使用方案</t>
  </si>
  <si>
    <t>表十</t>
  </si>
  <si>
    <t>项目类别</t>
  </si>
  <si>
    <t>安排金额</t>
  </si>
  <si>
    <t>备注</t>
  </si>
  <si>
    <t>基础设施建设</t>
  </si>
  <si>
    <t>新型冠状病毒感染肺炎隔离病区改造经费</t>
  </si>
  <si>
    <t>纳入政府性基金预算</t>
  </si>
  <si>
    <t>城关镇（城区）数字化免疫规化接种门诊</t>
  </si>
  <si>
    <t>乡镇卫生院预检和发热门诊</t>
  </si>
  <si>
    <t>城关镇中心卫生院业务综合楼建设</t>
  </si>
  <si>
    <t>新建pcr实验室临时业务用房建设项目（县人民医院、县中医医院）</t>
  </si>
  <si>
    <t>农业产业科技创新中心（硒产业科技孵化中心）项目建设</t>
  </si>
  <si>
    <t>红椿、东木、高桥、双桥、双安镇污水处理工程</t>
  </si>
  <si>
    <t>紫阳县仁和国际千户移民搬迁安置点标准化厂房建设项目工程</t>
  </si>
  <si>
    <t>紫阳县和平至焕古公路改建工程</t>
  </si>
  <si>
    <t>抗疫相关支出</t>
  </si>
  <si>
    <t>新型肺炎疫情防控经费</t>
  </si>
  <si>
    <t>建档立卡农村贫困人口参加新合疗个人缴费补助及补充医疗补助</t>
  </si>
  <si>
    <t>纳入一般公共预算</t>
  </si>
  <si>
    <t>残疾人两项补贴县级配套</t>
  </si>
  <si>
    <t>合  计</t>
  </si>
</sst>
</file>

<file path=xl/styles.xml><?xml version="1.0" encoding="utf-8"?>
<styleSheet xmlns="http://schemas.openxmlformats.org/spreadsheetml/2006/main">
  <numFmts count="7">
    <numFmt numFmtId="176" formatCode="0_ "/>
    <numFmt numFmtId="177" formatCode="0.00_ "/>
    <numFmt numFmtId="43" formatCode="_ * #,##0.00_ ;_ * \-#,##0.00_ ;_ * &quot;-&quot;??_ ;_ @_ "/>
    <numFmt numFmtId="42" formatCode="_ &quot;￥&quot;* #,##0_ ;_ &quot;￥&quot;* \-#,##0_ ;_ &quot;￥&quot;* &quot;-&quot;_ ;_ @_ "/>
    <numFmt numFmtId="178" formatCode="0.0%"/>
    <numFmt numFmtId="44" formatCode="_ &quot;￥&quot;* #,##0.00_ ;_ &quot;￥&quot;* \-#,##0.00_ ;_ &quot;￥&quot;* &quot;-&quot;??_ ;_ @_ "/>
    <numFmt numFmtId="41" formatCode="_ * #,##0_ ;_ * \-#,##0_ ;_ * &quot;-&quot;_ ;_ @_ "/>
  </numFmts>
  <fonts count="44">
    <font>
      <sz val="11"/>
      <color theme="1"/>
      <name val="宋体"/>
      <charset val="134"/>
      <scheme val="minor"/>
    </font>
    <font>
      <sz val="26"/>
      <color theme="1"/>
      <name val="方正小标宋简体"/>
      <charset val="134"/>
    </font>
    <font>
      <b/>
      <sz val="11"/>
      <color theme="1"/>
      <name val="宋体"/>
      <charset val="134"/>
      <scheme val="minor"/>
    </font>
    <font>
      <b/>
      <sz val="26"/>
      <color theme="1"/>
      <name val="方正小标宋简体"/>
      <charset val="134"/>
    </font>
    <font>
      <sz val="12"/>
      <name val="宋体"/>
      <charset val="134"/>
    </font>
    <font>
      <b/>
      <sz val="26"/>
      <name val="方正小标宋简体"/>
      <charset val="134"/>
    </font>
    <font>
      <sz val="12"/>
      <name val="宋体"/>
      <charset val="134"/>
      <scheme val="minor"/>
    </font>
    <font>
      <b/>
      <sz val="11"/>
      <name val="宋体"/>
      <charset val="134"/>
    </font>
    <font>
      <sz val="11"/>
      <name val="宋体"/>
      <charset val="134"/>
    </font>
    <font>
      <sz val="11"/>
      <name val="宋体"/>
      <charset val="134"/>
      <scheme val="minor"/>
    </font>
    <font>
      <sz val="12"/>
      <name val="仿宋_GB2312"/>
      <charset val="134"/>
    </font>
    <font>
      <sz val="10"/>
      <name val="仿宋_GB2312"/>
      <charset val="134"/>
    </font>
    <font>
      <sz val="10"/>
      <name val="宋体"/>
      <charset val="134"/>
    </font>
    <font>
      <b/>
      <sz val="11"/>
      <color rgb="FFFF0000"/>
      <name val="宋体"/>
      <charset val="134"/>
    </font>
    <font>
      <b/>
      <sz val="12"/>
      <name val="宋体"/>
      <charset val="134"/>
    </font>
    <font>
      <sz val="11"/>
      <color theme="1"/>
      <name val="黑体"/>
      <charset val="134"/>
    </font>
    <font>
      <b/>
      <sz val="28"/>
      <color theme="1"/>
      <name val="方正小标宋简体"/>
      <charset val="134"/>
    </font>
    <font>
      <sz val="14"/>
      <color theme="1"/>
      <name val="仿宋_GB2312"/>
      <charset val="134"/>
    </font>
    <font>
      <b/>
      <sz val="28"/>
      <name val="方正小标宋简体"/>
      <charset val="134"/>
    </font>
    <font>
      <sz val="24"/>
      <name val="宋体"/>
      <charset val="134"/>
    </font>
    <font>
      <sz val="18"/>
      <name val="宋体"/>
      <charset val="134"/>
    </font>
    <font>
      <b/>
      <sz val="14"/>
      <name val="方正小标宋简体"/>
      <charset val="134"/>
    </font>
    <font>
      <sz val="14"/>
      <name val="方正小标宋简体"/>
      <charset val="134"/>
    </font>
    <font>
      <b/>
      <sz val="10"/>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10"/>
      <name val="Arial"/>
      <charset val="0"/>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31" fillId="7" borderId="0" applyNumberFormat="0" applyBorder="0" applyAlignment="0" applyProtection="0">
      <alignment vertical="center"/>
    </xf>
    <xf numFmtId="0" fontId="30"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33" fillId="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14" applyNumberFormat="0" applyFont="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12" applyNumberFormat="0" applyFill="0" applyAlignment="0" applyProtection="0">
      <alignment vertical="center"/>
    </xf>
    <xf numFmtId="0" fontId="29" fillId="0" borderId="12" applyNumberFormat="0" applyFill="0" applyAlignment="0" applyProtection="0">
      <alignment vertical="center"/>
    </xf>
    <xf numFmtId="0" fontId="33" fillId="13" borderId="0" applyNumberFormat="0" applyBorder="0" applyAlignment="0" applyProtection="0">
      <alignment vertical="center"/>
    </xf>
    <xf numFmtId="0" fontId="34" fillId="0" borderId="13" applyNumberFormat="0" applyFill="0" applyAlignment="0" applyProtection="0">
      <alignment vertical="center"/>
    </xf>
    <xf numFmtId="0" fontId="33" fillId="16" borderId="0" applyNumberFormat="0" applyBorder="0" applyAlignment="0" applyProtection="0">
      <alignment vertical="center"/>
    </xf>
    <xf numFmtId="0" fontId="41" fillId="4" borderId="16" applyNumberFormat="0" applyAlignment="0" applyProtection="0">
      <alignment vertical="center"/>
    </xf>
    <xf numFmtId="0" fontId="4" fillId="0" borderId="0"/>
    <xf numFmtId="0" fontId="28" fillId="4" borderId="11" applyNumberFormat="0" applyAlignment="0" applyProtection="0">
      <alignment vertical="center"/>
    </xf>
    <xf numFmtId="0" fontId="24" fillId="3" borderId="9" applyNumberFormat="0" applyAlignment="0" applyProtection="0">
      <alignment vertical="center"/>
    </xf>
    <xf numFmtId="0" fontId="31" fillId="19" borderId="0" applyNumberFormat="0" applyBorder="0" applyAlignment="0" applyProtection="0">
      <alignment vertical="center"/>
    </xf>
    <xf numFmtId="0" fontId="33" fillId="21" borderId="0" applyNumberFormat="0" applyBorder="0" applyAlignment="0" applyProtection="0">
      <alignment vertical="center"/>
    </xf>
    <xf numFmtId="0" fontId="26" fillId="0" borderId="10" applyNumberFormat="0" applyFill="0" applyAlignment="0" applyProtection="0">
      <alignment vertical="center"/>
    </xf>
    <xf numFmtId="0" fontId="38" fillId="0" borderId="15" applyNumberFormat="0" applyFill="0" applyAlignment="0" applyProtection="0">
      <alignment vertical="center"/>
    </xf>
    <xf numFmtId="0" fontId="40" fillId="17" borderId="0" applyNumberFormat="0" applyBorder="0" applyAlignment="0" applyProtection="0">
      <alignment vertical="center"/>
    </xf>
    <xf numFmtId="0" fontId="4" fillId="0" borderId="0"/>
    <xf numFmtId="0" fontId="43" fillId="24" borderId="0" applyNumberFormat="0" applyBorder="0" applyAlignment="0" applyProtection="0">
      <alignment vertical="center"/>
    </xf>
    <xf numFmtId="0" fontId="31" fillId="26" borderId="0" applyNumberFormat="0" applyBorder="0" applyAlignment="0" applyProtection="0">
      <alignment vertical="center"/>
    </xf>
    <xf numFmtId="0" fontId="33" fillId="27" borderId="0" applyNumberFormat="0" applyBorder="0" applyAlignment="0" applyProtection="0">
      <alignment vertical="center"/>
    </xf>
    <xf numFmtId="0" fontId="31" fillId="12"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0" borderId="0" applyNumberFormat="0" applyBorder="0" applyAlignment="0" applyProtection="0">
      <alignment vertical="center"/>
    </xf>
    <xf numFmtId="0" fontId="33" fillId="30" borderId="0" applyNumberFormat="0" applyBorder="0" applyAlignment="0" applyProtection="0">
      <alignment vertical="center"/>
    </xf>
    <xf numFmtId="0" fontId="33" fillId="2" borderId="0" applyNumberFormat="0" applyBorder="0" applyAlignment="0" applyProtection="0">
      <alignment vertical="center"/>
    </xf>
    <xf numFmtId="0" fontId="31" fillId="31" borderId="0" applyNumberFormat="0" applyBorder="0" applyAlignment="0" applyProtection="0">
      <alignment vertical="center"/>
    </xf>
    <xf numFmtId="0" fontId="31" fillId="18" borderId="0" applyNumberFormat="0" applyBorder="0" applyAlignment="0" applyProtection="0">
      <alignment vertical="center"/>
    </xf>
    <xf numFmtId="0" fontId="33" fillId="15" borderId="0" applyNumberFormat="0" applyBorder="0" applyAlignment="0" applyProtection="0">
      <alignment vertical="center"/>
    </xf>
    <xf numFmtId="0" fontId="31" fillId="23" borderId="0" applyNumberFormat="0" applyBorder="0" applyAlignment="0" applyProtection="0">
      <alignment vertical="center"/>
    </xf>
    <xf numFmtId="0" fontId="33" fillId="32" borderId="0" applyNumberFormat="0" applyBorder="0" applyAlignment="0" applyProtection="0">
      <alignment vertical="center"/>
    </xf>
    <xf numFmtId="0" fontId="33" fillId="22" borderId="0" applyNumberFormat="0" applyBorder="0" applyAlignment="0" applyProtection="0">
      <alignment vertical="center"/>
    </xf>
    <xf numFmtId="0" fontId="31" fillId="14" borderId="0" applyNumberFormat="0" applyBorder="0" applyAlignment="0" applyProtection="0">
      <alignment vertical="center"/>
    </xf>
    <xf numFmtId="0" fontId="33" fillId="25" borderId="0" applyNumberFormat="0" applyBorder="0" applyAlignment="0" applyProtection="0">
      <alignment vertical="center"/>
    </xf>
    <xf numFmtId="0" fontId="4" fillId="0" borderId="0">
      <alignment vertical="center"/>
    </xf>
    <xf numFmtId="0" fontId="4" fillId="0" borderId="0"/>
    <xf numFmtId="0" fontId="4" fillId="0" borderId="0"/>
    <xf numFmtId="0" fontId="42" fillId="0" borderId="0" applyBorder="0"/>
    <xf numFmtId="0" fontId="4" fillId="0" borderId="0"/>
  </cellStyleXfs>
  <cellXfs count="184">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7" fontId="0" fillId="0" borderId="1" xfId="0" applyNumberFormat="1" applyBorder="1" applyAlignment="1">
      <alignment horizontal="center" vertical="center"/>
    </xf>
    <xf numFmtId="0" fontId="0" fillId="0" borderId="1" xfId="0" applyBorder="1" applyAlignment="1">
      <alignment vertical="center" wrapText="1"/>
    </xf>
    <xf numFmtId="0" fontId="2" fillId="0" borderId="1" xfId="0" applyFont="1" applyBorder="1">
      <alignment vertical="center"/>
    </xf>
    <xf numFmtId="177" fontId="2" fillId="0" borderId="1" xfId="0" applyNumberFormat="1" applyFont="1" applyBorder="1" applyAlignment="1">
      <alignment horizontal="center" vertical="center"/>
    </xf>
    <xf numFmtId="0" fontId="2" fillId="0" borderId="0" xfId="0" applyFont="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4" fillId="0" borderId="0" xfId="53" applyFont="1" applyFill="1" applyAlignment="1">
      <alignment vertical="center"/>
    </xf>
    <xf numFmtId="0" fontId="4" fillId="0" borderId="0" xfId="53" applyFont="1" applyFill="1" applyAlignment="1">
      <alignment horizontal="center" vertical="center"/>
    </xf>
    <xf numFmtId="176" fontId="4" fillId="0" borderId="0" xfId="53" applyNumberFormat="1" applyFont="1" applyFill="1" applyAlignment="1">
      <alignment horizontal="center" vertical="center"/>
    </xf>
    <xf numFmtId="0" fontId="4" fillId="0" borderId="0" xfId="53" applyFont="1" applyFill="1" applyAlignment="1">
      <alignment vertical="center" wrapText="1"/>
    </xf>
    <xf numFmtId="0" fontId="4" fillId="0" borderId="0" xfId="53" applyFont="1" applyFill="1" applyAlignment="1">
      <alignment horizontal="center" vertical="center" wrapText="1"/>
    </xf>
    <xf numFmtId="0" fontId="4" fillId="0" borderId="0" xfId="0" applyFont="1" applyFill="1" applyBorder="1" applyAlignment="1">
      <alignment vertical="center"/>
    </xf>
    <xf numFmtId="0" fontId="5" fillId="0" borderId="0" xfId="53" applyFont="1" applyFill="1" applyAlignment="1">
      <alignment horizontal="center" vertical="center"/>
    </xf>
    <xf numFmtId="0" fontId="6" fillId="0" borderId="0" xfId="53" applyFont="1" applyFill="1" applyAlignment="1">
      <alignment vertical="center"/>
    </xf>
    <xf numFmtId="0" fontId="6" fillId="0" borderId="0" xfId="53" applyFont="1" applyFill="1" applyAlignment="1">
      <alignment horizontal="center" vertical="center"/>
    </xf>
    <xf numFmtId="176" fontId="6" fillId="0" borderId="0" xfId="53" applyNumberFormat="1" applyFont="1" applyFill="1" applyAlignment="1">
      <alignment horizontal="center" vertical="center"/>
    </xf>
    <xf numFmtId="0" fontId="7" fillId="0" borderId="1" xfId="53" applyFont="1" applyFill="1" applyBorder="1" applyAlignment="1">
      <alignment horizontal="center" vertical="center"/>
    </xf>
    <xf numFmtId="0" fontId="7" fillId="0" borderId="1" xfId="53" applyNumberFormat="1" applyFont="1" applyFill="1" applyBorder="1" applyAlignment="1">
      <alignment horizontal="center" vertical="center" wrapText="1"/>
    </xf>
    <xf numFmtId="176" fontId="7" fillId="0" borderId="1" xfId="53"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3" fontId="7" fillId="0" borderId="1" xfId="53" applyNumberFormat="1" applyFont="1" applyFill="1" applyBorder="1" applyAlignment="1" applyProtection="1">
      <alignment vertical="center"/>
    </xf>
    <xf numFmtId="176" fontId="7" fillId="0" borderId="1" xfId="53" applyNumberFormat="1" applyFont="1" applyFill="1" applyBorder="1" applyAlignment="1" applyProtection="1">
      <alignment horizontal="center" vertical="center"/>
    </xf>
    <xf numFmtId="178" fontId="7" fillId="0" borderId="1" xfId="53" applyNumberFormat="1" applyFont="1" applyFill="1" applyBorder="1" applyAlignment="1" applyProtection="1">
      <alignment horizontal="center" vertical="center"/>
    </xf>
    <xf numFmtId="3" fontId="8" fillId="0" borderId="1" xfId="53" applyNumberFormat="1" applyFont="1" applyFill="1" applyBorder="1" applyAlignment="1" applyProtection="1">
      <alignment vertical="center"/>
    </xf>
    <xf numFmtId="176" fontId="7" fillId="0" borderId="1" xfId="0" applyNumberFormat="1" applyFont="1" applyFill="1" applyBorder="1" applyAlignment="1">
      <alignment horizontal="center" vertical="center" wrapText="1"/>
    </xf>
    <xf numFmtId="0" fontId="8" fillId="0" borderId="1" xfId="53" applyFont="1" applyFill="1" applyBorder="1" applyAlignment="1">
      <alignment vertical="center"/>
    </xf>
    <xf numFmtId="0" fontId="8" fillId="0" borderId="1" xfId="53" applyFont="1" applyFill="1" applyBorder="1" applyAlignment="1">
      <alignment horizontal="center" vertical="center"/>
    </xf>
    <xf numFmtId="176" fontId="7" fillId="0" borderId="1" xfId="53" applyNumberFormat="1" applyFont="1" applyFill="1" applyBorder="1" applyAlignment="1">
      <alignment horizontal="center" vertical="center"/>
    </xf>
    <xf numFmtId="176" fontId="7" fillId="0" borderId="5" xfId="53"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178" fontId="7" fillId="0" borderId="1" xfId="53" applyNumberFormat="1" applyFont="1" applyFill="1" applyBorder="1" applyAlignment="1">
      <alignment horizontal="center" vertical="center"/>
    </xf>
    <xf numFmtId="0" fontId="9" fillId="0" borderId="0" xfId="53" applyFont="1" applyFill="1" applyAlignment="1">
      <alignment horizontal="right" vertical="center"/>
    </xf>
    <xf numFmtId="0" fontId="4" fillId="0" borderId="0" xfId="53" applyFont="1" applyFill="1" applyAlignment="1">
      <alignment horizontal="right" vertical="center" wrapText="1"/>
    </xf>
    <xf numFmtId="0" fontId="7" fillId="0" borderId="1" xfId="53" applyFont="1" applyFill="1" applyBorder="1" applyAlignment="1">
      <alignment horizontal="center" vertical="center" wrapText="1"/>
    </xf>
    <xf numFmtId="0" fontId="8"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7" fillId="0" borderId="1" xfId="53" applyFont="1" applyFill="1" applyBorder="1" applyAlignment="1">
      <alignment vertical="center"/>
    </xf>
    <xf numFmtId="0" fontId="8" fillId="0" borderId="1" xfId="0" applyFont="1" applyFill="1" applyBorder="1" applyAlignment="1">
      <alignment vertical="center"/>
    </xf>
    <xf numFmtId="177" fontId="8" fillId="0" borderId="1" xfId="53" applyNumberFormat="1" applyFont="1" applyFill="1" applyBorder="1" applyAlignment="1">
      <alignment vertical="center" wrapText="1"/>
    </xf>
    <xf numFmtId="0" fontId="7" fillId="0" borderId="1" xfId="0" applyFont="1" applyFill="1" applyBorder="1" applyAlignment="1">
      <alignment vertical="center"/>
    </xf>
    <xf numFmtId="9" fontId="7" fillId="0" borderId="1" xfId="0" applyNumberFormat="1" applyFont="1" applyFill="1" applyBorder="1" applyAlignment="1">
      <alignment horizontal="center" vertical="center"/>
    </xf>
    <xf numFmtId="0" fontId="8" fillId="0" borderId="5" xfId="0" applyFont="1" applyFill="1" applyBorder="1" applyAlignment="1">
      <alignment vertical="center"/>
    </xf>
    <xf numFmtId="3" fontId="8" fillId="0" borderId="5" xfId="53" applyNumberFormat="1" applyFont="1" applyFill="1" applyBorder="1" applyAlignment="1" applyProtection="1">
      <alignment vertical="center"/>
    </xf>
    <xf numFmtId="0" fontId="7" fillId="0" borderId="5" xfId="53" applyFont="1" applyFill="1" applyBorder="1" applyAlignment="1">
      <alignment horizontal="center" vertical="center"/>
    </xf>
    <xf numFmtId="0" fontId="7" fillId="0" borderId="6" xfId="53" applyFont="1" applyFill="1" applyBorder="1" applyAlignment="1">
      <alignment horizontal="left" vertical="center"/>
    </xf>
    <xf numFmtId="0" fontId="8" fillId="0" borderId="5" xfId="53" applyFont="1" applyFill="1" applyBorder="1" applyAlignment="1">
      <alignment vertical="center"/>
    </xf>
    <xf numFmtId="0" fontId="4" fillId="0" borderId="0" xfId="0" applyNumberFormat="1" applyFont="1" applyFill="1" applyBorder="1" applyAlignment="1">
      <alignment vertical="center" wrapText="1"/>
    </xf>
    <xf numFmtId="0" fontId="5" fillId="0" borderId="0" xfId="0" applyNumberFormat="1" applyFont="1" applyFill="1" applyAlignment="1">
      <alignment horizontal="center" vertical="center" wrapText="1"/>
    </xf>
    <xf numFmtId="0" fontId="8" fillId="0" borderId="0"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11"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0" fillId="0" borderId="1" xfId="0" applyFont="1" applyFill="1" applyBorder="1">
      <alignment vertical="center"/>
    </xf>
    <xf numFmtId="0" fontId="2" fillId="0" borderId="1" xfId="0" applyFont="1" applyFill="1" applyBorder="1">
      <alignment vertical="center"/>
    </xf>
    <xf numFmtId="0" fontId="4" fillId="0" borderId="0"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applyBorder="1" applyAlignment="1"/>
    <xf numFmtId="176" fontId="4" fillId="0" borderId="0" xfId="0" applyNumberFormat="1" applyFont="1" applyFill="1" applyBorder="1" applyAlignment="1">
      <alignment horizontal="center" wrapText="1"/>
    </xf>
    <xf numFmtId="0" fontId="0" fillId="0" borderId="0" xfId="0" applyFill="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176" fontId="4" fillId="0" borderId="0"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protection locked="0"/>
    </xf>
    <xf numFmtId="176" fontId="7" fillId="0" borderId="4"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0" fillId="0" borderId="1" xfId="0"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76" fontId="13" fillId="0" borderId="1" xfId="0" applyNumberFormat="1" applyFont="1" applyFill="1" applyBorder="1" applyAlignment="1">
      <alignment horizontal="center" vertical="center" wrapText="1"/>
    </xf>
    <xf numFmtId="0" fontId="4" fillId="0" borderId="1" xfId="0" applyFont="1" applyFill="1" applyBorder="1" applyAlignment="1"/>
    <xf numFmtId="0" fontId="9" fillId="0" borderId="0" xfId="0" applyFont="1" applyFill="1">
      <alignment vertical="center"/>
    </xf>
    <xf numFmtId="0" fontId="8" fillId="0" borderId="0" xfId="0" applyFont="1" applyFill="1" applyBorder="1" applyAlignment="1">
      <alignment wrapText="1"/>
    </xf>
    <xf numFmtId="0" fontId="5" fillId="0" borderId="0" xfId="0" applyFont="1" applyFill="1" applyBorder="1" applyAlignment="1">
      <alignment horizontal="center"/>
    </xf>
    <xf numFmtId="0" fontId="8"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176" fontId="7" fillId="0" borderId="1"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pplyProtection="1">
      <alignment vertical="center"/>
      <protection locked="0"/>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0" xfId="0" applyFont="1" applyFill="1" applyBorder="1" applyAlignment="1"/>
    <xf numFmtId="0" fontId="0" fillId="0" borderId="0" xfId="0" applyFill="1" applyAlignment="1">
      <alignment horizontal="center" vertical="center" wrapText="1"/>
    </xf>
    <xf numFmtId="0" fontId="4" fillId="0" borderId="0" xfId="0" applyFont="1" applyFill="1" applyBorder="1" applyAlignment="1">
      <alignment horizontal="center"/>
    </xf>
    <xf numFmtId="0" fontId="7" fillId="0" borderId="0" xfId="0" applyFont="1" applyFill="1" applyBorder="1" applyAlignment="1">
      <alignment horizontal="center" vertical="center" wrapText="1"/>
    </xf>
    <xf numFmtId="0" fontId="5" fillId="0" borderId="0" xfId="0" applyFont="1" applyFill="1" applyAlignment="1" applyProtection="1">
      <alignment horizontal="center" vertical="center"/>
      <protection locked="0"/>
    </xf>
    <xf numFmtId="0" fontId="9" fillId="0" borderId="0" xfId="51" applyFont="1" applyFill="1" applyAlignment="1">
      <alignment horizontal="left" vertical="center" wrapText="1"/>
    </xf>
    <xf numFmtId="0" fontId="5" fillId="0" borderId="0" xfId="0" applyFont="1" applyFill="1" applyAlignment="1" applyProtection="1">
      <alignment horizontal="center" vertical="center" wrapText="1"/>
      <protection locked="0"/>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1" xfId="33" applyFont="1" applyFill="1" applyBorder="1" applyAlignment="1" applyProtection="1">
      <alignment vertical="center"/>
      <protection locked="0"/>
    </xf>
    <xf numFmtId="0" fontId="8" fillId="0" borderId="1" xfId="0" applyFont="1" applyFill="1" applyBorder="1" applyAlignment="1" applyProtection="1">
      <alignment horizontal="left" vertical="center"/>
      <protection locked="0"/>
    </xf>
    <xf numFmtId="3" fontId="8" fillId="0" borderId="1" xfId="0" applyNumberFormat="1" applyFont="1" applyFill="1" applyBorder="1" applyAlignment="1">
      <alignment horizontal="left" vertical="center"/>
    </xf>
    <xf numFmtId="178" fontId="7" fillId="0" borderId="1" xfId="0" applyNumberFormat="1" applyFont="1" applyFill="1" applyBorder="1" applyAlignment="1" applyProtection="1">
      <alignment horizontal="center" vertical="center" wrapText="1"/>
      <protection locked="0"/>
    </xf>
    <xf numFmtId="3" fontId="7" fillId="0" borderId="1" xfId="0" applyNumberFormat="1" applyFont="1" applyFill="1" applyBorder="1" applyAlignment="1">
      <alignment horizontal="left" vertical="center"/>
    </xf>
    <xf numFmtId="0" fontId="7" fillId="0" borderId="1" xfId="52" applyFont="1" applyFill="1" applyBorder="1" applyAlignment="1">
      <alignment horizontal="center" vertical="center"/>
    </xf>
    <xf numFmtId="0" fontId="7" fillId="0" borderId="1" xfId="52" applyFont="1" applyFill="1" applyBorder="1" applyAlignment="1" applyProtection="1">
      <alignment horizontal="left" vertical="center"/>
      <protection locked="0"/>
    </xf>
    <xf numFmtId="1" fontId="8" fillId="0" borderId="1" xfId="54" applyNumberFormat="1" applyFont="1" applyFill="1" applyBorder="1" applyAlignment="1" applyProtection="1">
      <alignment vertical="center"/>
      <protection locked="0"/>
    </xf>
    <xf numFmtId="0" fontId="7" fillId="0" borderId="1" xfId="52"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7" fillId="0" borderId="5" xfId="0" applyFont="1" applyFill="1" applyBorder="1" applyAlignment="1">
      <alignment horizontal="left"/>
    </xf>
    <xf numFmtId="0" fontId="7" fillId="0" borderId="7" xfId="0" applyFont="1" applyFill="1" applyBorder="1" applyAlignment="1">
      <alignment horizontal="left"/>
    </xf>
    <xf numFmtId="0" fontId="7" fillId="0" borderId="1"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4" fillId="0" borderId="0" xfId="0" applyFont="1" applyFill="1" applyAlignment="1">
      <alignment horizontal="center"/>
    </xf>
    <xf numFmtId="176" fontId="4" fillId="0" borderId="0" xfId="0" applyNumberFormat="1" applyFont="1" applyFill="1" applyAlignment="1">
      <alignment horizontal="center"/>
    </xf>
    <xf numFmtId="176" fontId="4" fillId="0" borderId="0" xfId="0" applyNumberFormat="1" applyFont="1" applyFill="1" applyAlignment="1">
      <alignment horizontal="center" vertical="center" wrapText="1"/>
    </xf>
    <xf numFmtId="176"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left" vertical="center"/>
    </xf>
    <xf numFmtId="3" fontId="8" fillId="0" borderId="1" xfId="0" applyNumberFormat="1" applyFont="1" applyFill="1" applyBorder="1" applyAlignment="1">
      <alignment vertical="center"/>
    </xf>
    <xf numFmtId="0" fontId="4" fillId="0" borderId="0" xfId="0" applyFont="1" applyFill="1" applyBorder="1" applyAlignment="1">
      <alignment vertical="center" wrapText="1"/>
    </xf>
    <xf numFmtId="0" fontId="7" fillId="0" borderId="1" xfId="52"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8" fillId="0" borderId="1" xfId="52" applyFont="1" applyFill="1" applyBorder="1" applyAlignment="1">
      <alignment vertical="center"/>
    </xf>
    <xf numFmtId="178" fontId="7" fillId="0" borderId="1" xfId="0" applyNumberFormat="1" applyFont="1" applyFill="1" applyBorder="1" applyAlignment="1">
      <alignment horizontal="center" vertical="center"/>
    </xf>
    <xf numFmtId="0" fontId="12" fillId="0" borderId="1" xfId="52" applyFont="1" applyFill="1" applyBorder="1" applyAlignment="1">
      <alignment vertical="center"/>
    </xf>
    <xf numFmtId="0" fontId="8" fillId="0" borderId="1" xfId="52" applyFont="1" applyFill="1" applyBorder="1" applyAlignment="1">
      <alignment horizontal="left" vertical="center"/>
    </xf>
    <xf numFmtId="0" fontId="8" fillId="0" borderId="1" xfId="52"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0" fontId="8" fillId="0" borderId="1" xfId="52" applyNumberFormat="1" applyFont="1" applyFill="1" applyBorder="1" applyAlignment="1">
      <alignment horizontal="left" vertical="center"/>
    </xf>
    <xf numFmtId="176" fontId="7" fillId="0" borderId="1" xfId="0" applyNumberFormat="1" applyFont="1" applyFill="1" applyBorder="1" applyAlignment="1">
      <alignment vertical="center"/>
    </xf>
    <xf numFmtId="3" fontId="7" fillId="0" borderId="1" xfId="0" applyNumberFormat="1" applyFont="1" applyFill="1" applyBorder="1" applyAlignment="1">
      <alignment horizontal="center" vertical="center"/>
    </xf>
    <xf numFmtId="0" fontId="4" fillId="0" borderId="1" xfId="0" applyFont="1" applyFill="1" applyBorder="1" applyAlignment="1">
      <alignment horizontal="center"/>
    </xf>
    <xf numFmtId="176" fontId="4" fillId="0" borderId="1" xfId="0" applyNumberFormat="1" applyFont="1" applyFill="1" applyBorder="1" applyAlignment="1">
      <alignment horizontal="center"/>
    </xf>
    <xf numFmtId="0" fontId="8" fillId="0" borderId="1" xfId="52" applyNumberFormat="1" applyFont="1" applyFill="1" applyBorder="1" applyAlignment="1">
      <alignment vertical="center"/>
    </xf>
    <xf numFmtId="0" fontId="7" fillId="0" borderId="1" xfId="52" applyFont="1" applyFill="1" applyBorder="1" applyAlignment="1">
      <alignment horizontal="left" vertical="center"/>
    </xf>
    <xf numFmtId="0" fontId="7" fillId="0" borderId="1" xfId="52" applyNumberFormat="1" applyFont="1" applyFill="1" applyBorder="1" applyAlignment="1">
      <alignment horizontal="center" vertical="center"/>
    </xf>
    <xf numFmtId="0" fontId="4" fillId="0" borderId="0" xfId="0" applyFont="1" applyFill="1" applyBorder="1" applyAlignment="1">
      <alignment wrapText="1"/>
    </xf>
    <xf numFmtId="0" fontId="8" fillId="0" borderId="1" xfId="0" applyFont="1" applyFill="1" applyBorder="1" applyAlignment="1"/>
    <xf numFmtId="0" fontId="4" fillId="2" borderId="0" xfId="0" applyFont="1" applyFill="1" applyBorder="1" applyAlignment="1">
      <alignment horizontal="center"/>
    </xf>
    <xf numFmtId="0" fontId="0" fillId="0" borderId="0" xfId="0"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vertical="center"/>
    </xf>
    <xf numFmtId="0" fontId="14" fillId="0" borderId="0" xfId="0" applyFont="1" applyFill="1" applyBorder="1" applyAlignment="1">
      <alignment horizontal="center"/>
    </xf>
    <xf numFmtId="0" fontId="18" fillId="0" borderId="0" xfId="0" applyNumberFormat="1" applyFont="1" applyFill="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Alignment="1">
      <alignment horizontal="center"/>
    </xf>
    <xf numFmtId="0" fontId="22" fillId="0" borderId="0" xfId="0" applyFont="1" applyFill="1" applyBorder="1" applyAlignment="1"/>
    <xf numFmtId="0" fontId="21" fillId="0" borderId="0" xfId="0" applyFont="1" applyFill="1" applyBorder="1" applyAlignment="1">
      <alignment horizontal="center"/>
    </xf>
    <xf numFmtId="0" fontId="23" fillId="0" borderId="0" xfId="0" applyFont="1" applyFill="1" applyBorder="1" applyAlignment="1">
      <alignment horizont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Book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西安"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_2011年预算草案表（调整报人大）" xfId="52"/>
    <cellStyle name="常规_2015年预算（报市）" xfId="53"/>
    <cellStyle name="3232" xfId="54"/>
    <cellStyle name="常规 2" xfId="55"/>
  </cellStyles>
  <tableStyles count="0" defaultTableStyle="TableStyleMedium2"/>
  <colors>
    <mruColors>
      <color rgb="007030A0"/>
      <color rgb="00FF0000"/>
      <color rgb="00FFFF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88\f\2020&#24180;&#24037;&#20316;&#25991;&#26723;\1.2020&#24180;&#21457;&#25991;\3&#65306;2020&#24180;&#24453;&#23433;&#2549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32929;&#24037;&#20316;&#25991;&#26723;\2020&#24180;&#24037;&#20316;&#25991;&#26723;\2020&#24180;&#35843;&#25972;&#39044;&#31639;\2020&#24180;&#36130;&#25919;&#39044;&#31639;&#30456;&#20851;&#34920;&#26684;&#65288;&#35843;&#25972;&#39044;&#3163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民生工程"/>
      <sheetName val="2020年专项预算"/>
      <sheetName val="2020年总预算明细"/>
      <sheetName val="2018年民生工程"/>
      <sheetName val="2018年专项预算"/>
      <sheetName val="2018年总预算明细"/>
    </sheetNames>
    <sheetDataSet>
      <sheetData sheetId="0" refreshError="1"/>
      <sheetData sheetId="1" refreshError="1"/>
      <sheetData sheetId="2" refreshError="1">
        <row r="28">
          <cell r="G28">
            <v>27.61363</v>
          </cell>
        </row>
        <row r="158">
          <cell r="G158">
            <v>0</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sheetName val="封面"/>
      <sheetName val="目录"/>
      <sheetName val="表一"/>
      <sheetName val="表二"/>
      <sheetName val="表四"/>
      <sheetName val="表五"/>
      <sheetName val="表九"/>
      <sheetName val="表十"/>
      <sheetName val="表十二"/>
      <sheetName val="表十三"/>
    </sheetNames>
    <sheetDataSet>
      <sheetData sheetId="0"/>
      <sheetData sheetId="1"/>
      <sheetData sheetId="2"/>
      <sheetData sheetId="3">
        <row r="6">
          <cell r="F6">
            <v>9065</v>
          </cell>
        </row>
        <row r="22">
          <cell r="F22">
            <v>715</v>
          </cell>
        </row>
        <row r="29">
          <cell r="F29">
            <v>690</v>
          </cell>
        </row>
        <row r="30">
          <cell r="F30">
            <v>350</v>
          </cell>
        </row>
        <row r="31">
          <cell r="F31">
            <v>400</v>
          </cell>
        </row>
        <row r="32">
          <cell r="F32">
            <v>80</v>
          </cell>
        </row>
        <row r="35">
          <cell r="F35">
            <v>2467</v>
          </cell>
        </row>
        <row r="39">
          <cell r="F39">
            <v>118090</v>
          </cell>
        </row>
        <row r="62">
          <cell r="F62">
            <v>178472</v>
          </cell>
        </row>
        <row r="83">
          <cell r="F83">
            <v>711</v>
          </cell>
        </row>
        <row r="83">
          <cell r="I83">
            <v>797</v>
          </cell>
        </row>
        <row r="88">
          <cell r="F88">
            <v>8040</v>
          </cell>
        </row>
        <row r="89">
          <cell r="I89">
            <v>133813</v>
          </cell>
        </row>
        <row r="90">
          <cell r="F90">
            <v>123763</v>
          </cell>
        </row>
        <row r="91">
          <cell r="F91">
            <v>10050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I25" sqref="I25"/>
    </sheetView>
  </sheetViews>
  <sheetFormatPr defaultColWidth="9" defaultRowHeight="14.25"/>
  <cols>
    <col min="1" max="4" width="9" style="85"/>
    <col min="5" max="5" width="11.5" style="85" customWidth="1"/>
    <col min="6" max="6" width="11.75" style="85" customWidth="1"/>
    <col min="7" max="7" width="14" style="85" customWidth="1"/>
    <col min="8" max="256" width="9" style="85"/>
    <col min="257" max="16384" width="9" style="26"/>
  </cols>
  <sheetData>
    <row r="1" ht="23.25" customHeight="1" spans="9:11">
      <c r="I1" s="176"/>
      <c r="J1" s="176"/>
      <c r="K1" s="183"/>
    </row>
    <row r="2" ht="23.25" customHeight="1" spans="8:10">
      <c r="H2" s="176"/>
      <c r="I2" s="176"/>
      <c r="J2" s="176"/>
    </row>
    <row r="3" ht="33" customHeight="1" spans="1:14">
      <c r="A3" s="177" t="s">
        <v>0</v>
      </c>
      <c r="B3" s="177"/>
      <c r="C3" s="177"/>
      <c r="D3" s="177"/>
      <c r="E3" s="177"/>
      <c r="F3" s="177"/>
      <c r="G3" s="177"/>
      <c r="H3" s="177"/>
      <c r="I3" s="177"/>
      <c r="J3" s="177"/>
      <c r="K3" s="177"/>
      <c r="L3" s="177"/>
      <c r="M3" s="177"/>
      <c r="N3" s="177"/>
    </row>
    <row r="10" ht="21" customHeight="1" spans="6:6">
      <c r="F10" s="178"/>
    </row>
    <row r="11" ht="15.75" customHeight="1" spans="1:13">
      <c r="A11" s="179"/>
      <c r="B11" s="179"/>
      <c r="C11" s="179"/>
      <c r="D11" s="179"/>
      <c r="E11" s="179"/>
      <c r="F11" s="179"/>
      <c r="G11" s="179"/>
      <c r="H11" s="179"/>
      <c r="I11" s="179"/>
      <c r="J11" s="179"/>
      <c r="K11" s="179"/>
      <c r="L11" s="179"/>
      <c r="M11" s="179"/>
    </row>
    <row r="12" ht="15.75" customHeight="1" spans="1:13">
      <c r="A12" s="179"/>
      <c r="B12" s="179"/>
      <c r="C12" s="179"/>
      <c r="D12" s="179"/>
      <c r="E12" s="179"/>
      <c r="F12" s="179"/>
      <c r="G12" s="179"/>
      <c r="H12" s="179"/>
      <c r="I12" s="179"/>
      <c r="J12" s="179"/>
      <c r="K12" s="179"/>
      <c r="L12" s="179"/>
      <c r="M12" s="179"/>
    </row>
    <row r="13" ht="49" customHeight="1" spans="1:13">
      <c r="A13" s="179"/>
      <c r="B13" s="179"/>
      <c r="C13" s="179"/>
      <c r="D13" s="179"/>
      <c r="E13" s="179"/>
      <c r="F13" s="179"/>
      <c r="G13" s="179"/>
      <c r="H13" s="179"/>
      <c r="I13" s="179"/>
      <c r="J13" s="179"/>
      <c r="K13" s="179"/>
      <c r="L13" s="179"/>
      <c r="M13" s="179"/>
    </row>
    <row r="14" ht="24" customHeight="1" spans="1:14">
      <c r="A14" s="180" t="s">
        <v>1</v>
      </c>
      <c r="B14" s="180"/>
      <c r="C14" s="180"/>
      <c r="D14" s="180"/>
      <c r="E14" s="180"/>
      <c r="F14" s="180"/>
      <c r="G14" s="180"/>
      <c r="H14" s="180"/>
      <c r="I14" s="180"/>
      <c r="J14" s="180"/>
      <c r="K14" s="180"/>
      <c r="L14" s="180"/>
      <c r="M14" s="180"/>
      <c r="N14" s="180"/>
    </row>
    <row r="15" ht="24" customHeight="1" spans="1:13">
      <c r="A15" s="181"/>
      <c r="B15" s="181"/>
      <c r="C15" s="182"/>
      <c r="D15" s="182"/>
      <c r="E15" s="182"/>
      <c r="F15" s="182"/>
      <c r="G15" s="182"/>
      <c r="H15" s="181"/>
      <c r="I15" s="181"/>
      <c r="J15" s="181"/>
      <c r="K15" s="181"/>
      <c r="L15" s="181"/>
      <c r="M15" s="181"/>
    </row>
    <row r="16" ht="24" customHeight="1" spans="1:14">
      <c r="A16" s="180" t="s">
        <v>2</v>
      </c>
      <c r="B16" s="180"/>
      <c r="C16" s="180"/>
      <c r="D16" s="180"/>
      <c r="E16" s="180"/>
      <c r="F16" s="180"/>
      <c r="G16" s="180"/>
      <c r="H16" s="180"/>
      <c r="I16" s="180"/>
      <c r="J16" s="180"/>
      <c r="K16" s="180"/>
      <c r="L16" s="180"/>
      <c r="M16" s="180"/>
      <c r="N16" s="180"/>
    </row>
    <row r="17" ht="24" customHeight="1" spans="1:13">
      <c r="A17" s="181"/>
      <c r="B17" s="181"/>
      <c r="C17" s="181"/>
      <c r="D17" s="181"/>
      <c r="E17" s="181"/>
      <c r="F17" s="181"/>
      <c r="G17" s="181"/>
      <c r="H17" s="181"/>
      <c r="I17" s="181"/>
      <c r="J17" s="181"/>
      <c r="K17" s="181"/>
      <c r="L17" s="181"/>
      <c r="M17" s="181"/>
    </row>
    <row r="18" ht="24" customHeight="1" spans="1:14">
      <c r="A18" s="180" t="s">
        <v>3</v>
      </c>
      <c r="B18" s="180"/>
      <c r="C18" s="180"/>
      <c r="D18" s="180"/>
      <c r="E18" s="180"/>
      <c r="F18" s="180"/>
      <c r="G18" s="180"/>
      <c r="H18" s="180"/>
      <c r="I18" s="180"/>
      <c r="J18" s="180"/>
      <c r="K18" s="180"/>
      <c r="L18" s="180"/>
      <c r="M18" s="180"/>
      <c r="N18" s="180"/>
    </row>
  </sheetData>
  <mergeCells count="4">
    <mergeCell ref="A3:N3"/>
    <mergeCell ref="A14:N14"/>
    <mergeCell ref="A16:N16"/>
    <mergeCell ref="A18:N18"/>
  </mergeCells>
  <printOptions horizontalCentered="1"/>
  <pageMargins left="0.393055555555556" right="0.393055555555556" top="0.751388888888889" bottom="0.751388888888889" header="0.30625" footer="0.30625"/>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2"/>
  <sheetViews>
    <sheetView topLeftCell="A2" workbookViewId="0">
      <selection activeCell="D21" sqref="D21"/>
    </sheetView>
  </sheetViews>
  <sheetFormatPr defaultColWidth="9" defaultRowHeight="13.5" outlineLevelCol="2"/>
  <cols>
    <col min="1" max="1" width="9" style="172"/>
    <col min="2" max="2" width="8.125" style="173" customWidth="1"/>
    <col min="3" max="3" width="89.75" style="172" customWidth="1"/>
    <col min="4" max="16384" width="9" style="172"/>
  </cols>
  <sheetData>
    <row r="1" ht="30" customHeight="1" spans="3:3">
      <c r="C1" s="174" t="s">
        <v>4</v>
      </c>
    </row>
    <row r="2" ht="32" customHeight="1"/>
    <row r="3" ht="30" customHeight="1" spans="2:3">
      <c r="B3" s="173" t="s">
        <v>5</v>
      </c>
      <c r="C3" s="175" t="s">
        <v>6</v>
      </c>
    </row>
    <row r="4" ht="30" customHeight="1" spans="2:3">
      <c r="B4" s="173" t="s">
        <v>7</v>
      </c>
      <c r="C4" s="175" t="s">
        <v>8</v>
      </c>
    </row>
    <row r="5" ht="30" customHeight="1" spans="2:3">
      <c r="B5" s="173" t="s">
        <v>9</v>
      </c>
      <c r="C5" s="175" t="s">
        <v>10</v>
      </c>
    </row>
    <row r="6" ht="30" customHeight="1" spans="2:3">
      <c r="B6" s="173" t="s">
        <v>11</v>
      </c>
      <c r="C6" s="175" t="s">
        <v>12</v>
      </c>
    </row>
    <row r="7" ht="30" customHeight="1" spans="2:3">
      <c r="B7" s="173" t="s">
        <v>13</v>
      </c>
      <c r="C7" s="175" t="s">
        <v>14</v>
      </c>
    </row>
    <row r="8" ht="30" customHeight="1" spans="2:3">
      <c r="B8" s="173" t="s">
        <v>15</v>
      </c>
      <c r="C8" s="175" t="s">
        <v>16</v>
      </c>
    </row>
    <row r="9" ht="30" customHeight="1" spans="2:3">
      <c r="B9" s="173" t="s">
        <v>17</v>
      </c>
      <c r="C9" s="175" t="s">
        <v>18</v>
      </c>
    </row>
    <row r="10" ht="30" customHeight="1" spans="2:3">
      <c r="B10" s="173" t="s">
        <v>19</v>
      </c>
      <c r="C10" s="175" t="s">
        <v>20</v>
      </c>
    </row>
    <row r="11" ht="30" customHeight="1" spans="2:3">
      <c r="B11" s="173" t="s">
        <v>21</v>
      </c>
      <c r="C11" s="175" t="s">
        <v>22</v>
      </c>
    </row>
    <row r="12" ht="30" customHeight="1" spans="2:3">
      <c r="B12" s="173" t="s">
        <v>23</v>
      </c>
      <c r="C12" s="175" t="s">
        <v>24</v>
      </c>
    </row>
  </sheetData>
  <printOptions horizontalCentered="1"/>
  <pageMargins left="0.751388888888889" right="0.751388888888889" top="0.786805555555556" bottom="0.39305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25"/>
  <sheetViews>
    <sheetView showZeros="0" workbookViewId="0">
      <pane xSplit="1" ySplit="4" topLeftCell="B86" activePane="bottomRight" state="frozen"/>
      <selection/>
      <selection pane="topRight"/>
      <selection pane="bottomLeft"/>
      <selection pane="bottomRight" activeCell="AE5" sqref="AE5"/>
    </sheetView>
  </sheetViews>
  <sheetFormatPr defaultColWidth="9" defaultRowHeight="14.25"/>
  <cols>
    <col min="1" max="1" width="37.625" style="85" customWidth="1"/>
    <col min="2" max="2" width="8.125" style="116" hidden="1" customWidth="1"/>
    <col min="3" max="5" width="8.125" style="144" hidden="1" customWidth="1"/>
    <col min="6" max="9" width="8.125" style="145" customWidth="1"/>
    <col min="10" max="10" width="43.25" style="85" hidden="1" customWidth="1"/>
    <col min="11" max="11" width="9" style="85" hidden="1" customWidth="1"/>
    <col min="12" max="13" width="9.25" style="85" hidden="1" customWidth="1"/>
    <col min="14" max="20" width="9" style="85" hidden="1" customWidth="1"/>
    <col min="21" max="21" width="50.5" style="85" customWidth="1"/>
    <col min="22" max="22" width="9.25" style="85" hidden="1" customWidth="1"/>
    <col min="23" max="24" width="10.375" style="85" hidden="1" customWidth="1"/>
    <col min="25" max="25" width="9.25" style="85" hidden="1" customWidth="1"/>
    <col min="26" max="26" width="10.375" style="85"/>
    <col min="27" max="27" width="9" style="85" hidden="1" customWidth="1"/>
    <col min="28" max="28" width="9.25" style="85" hidden="1" customWidth="1"/>
    <col min="29" max="29" width="9" style="85" hidden="1" customWidth="1"/>
    <col min="30" max="30" width="9" style="85" customWidth="1"/>
    <col min="31" max="32" width="9" style="85"/>
    <col min="33" max="34" width="9" style="85" hidden="1" customWidth="1"/>
    <col min="35" max="35" width="9.375" style="116" customWidth="1"/>
    <col min="36" max="37" width="9" style="116" customWidth="1"/>
    <col min="38" max="38" width="9" style="85" customWidth="1"/>
    <col min="39" max="16269" width="9" style="85"/>
    <col min="16270" max="16384" width="9" style="103"/>
  </cols>
  <sheetData>
    <row r="1" ht="35" customHeight="1" spans="1:34">
      <c r="A1" s="118" t="s">
        <v>25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ht="25" customHeight="1" spans="1:34">
      <c r="A2" s="119" t="s">
        <v>26</v>
      </c>
      <c r="B2" s="121"/>
      <c r="C2" s="135"/>
      <c r="D2" s="135"/>
      <c r="E2" s="135"/>
      <c r="F2" s="146"/>
      <c r="G2" s="146"/>
      <c r="H2" s="146"/>
      <c r="I2" s="146"/>
      <c r="J2" s="151"/>
      <c r="K2" s="151"/>
      <c r="L2" s="151"/>
      <c r="M2" s="151"/>
      <c r="N2" s="151"/>
      <c r="O2" s="151"/>
      <c r="P2" s="151"/>
      <c r="Q2" s="151"/>
      <c r="R2" s="151"/>
      <c r="S2" s="151"/>
      <c r="T2" s="151"/>
      <c r="U2" s="151"/>
      <c r="V2" s="151"/>
      <c r="W2" s="151"/>
      <c r="X2" s="151"/>
      <c r="Y2" s="151"/>
      <c r="Z2" s="151"/>
      <c r="AA2" s="151"/>
      <c r="AB2" s="151"/>
      <c r="AC2" s="151"/>
      <c r="AD2" s="151"/>
      <c r="AE2" s="76" t="s">
        <v>27</v>
      </c>
      <c r="AF2" s="76"/>
      <c r="AG2" s="76"/>
      <c r="AH2" s="76"/>
    </row>
    <row r="3" ht="30" customHeight="1" spans="1:34">
      <c r="A3" s="123" t="s">
        <v>28</v>
      </c>
      <c r="B3" s="123" t="s">
        <v>29</v>
      </c>
      <c r="C3" s="123" t="s">
        <v>30</v>
      </c>
      <c r="D3" s="123" t="s">
        <v>31</v>
      </c>
      <c r="E3" s="123" t="s">
        <v>32</v>
      </c>
      <c r="F3" s="108" t="s">
        <v>33</v>
      </c>
      <c r="G3" s="108" t="s">
        <v>34</v>
      </c>
      <c r="H3" s="108" t="s">
        <v>35</v>
      </c>
      <c r="I3" s="108" t="s">
        <v>36</v>
      </c>
      <c r="J3" s="152" t="s">
        <v>37</v>
      </c>
      <c r="K3" s="123" t="s">
        <v>38</v>
      </c>
      <c r="L3" s="123" t="s">
        <v>39</v>
      </c>
      <c r="M3" s="153" t="s">
        <v>31</v>
      </c>
      <c r="N3" s="153" t="s">
        <v>40</v>
      </c>
      <c r="O3" s="34" t="s">
        <v>41</v>
      </c>
      <c r="P3" s="98" t="s">
        <v>42</v>
      </c>
      <c r="Q3" s="82"/>
      <c r="R3" s="108" t="s">
        <v>43</v>
      </c>
      <c r="S3" s="108" t="s">
        <v>35</v>
      </c>
      <c r="T3" s="108" t="s">
        <v>44</v>
      </c>
      <c r="U3" s="152" t="s">
        <v>37</v>
      </c>
      <c r="V3" s="123" t="s">
        <v>38</v>
      </c>
      <c r="W3" s="123" t="s">
        <v>39</v>
      </c>
      <c r="X3" s="153" t="s">
        <v>31</v>
      </c>
      <c r="Y3" s="153" t="s">
        <v>40</v>
      </c>
      <c r="Z3" s="34" t="s">
        <v>41</v>
      </c>
      <c r="AA3" s="98" t="s">
        <v>42</v>
      </c>
      <c r="AB3" s="82"/>
      <c r="AC3" s="67" t="s">
        <v>45</v>
      </c>
      <c r="AD3" s="108" t="s">
        <v>34</v>
      </c>
      <c r="AE3" s="108" t="s">
        <v>35</v>
      </c>
      <c r="AF3" s="108" t="s">
        <v>46</v>
      </c>
      <c r="AG3" s="98" t="s">
        <v>42</v>
      </c>
      <c r="AH3" s="82"/>
    </row>
    <row r="4" ht="30" customHeight="1" spans="1:34">
      <c r="A4" s="123"/>
      <c r="B4" s="123"/>
      <c r="C4" s="123"/>
      <c r="D4" s="123"/>
      <c r="E4" s="123"/>
      <c r="F4" s="108"/>
      <c r="G4" s="108"/>
      <c r="H4" s="108"/>
      <c r="I4" s="108"/>
      <c r="J4" s="152"/>
      <c r="K4" s="123"/>
      <c r="L4" s="123"/>
      <c r="M4" s="153"/>
      <c r="N4" s="153"/>
      <c r="O4" s="34"/>
      <c r="P4" s="34" t="s">
        <v>47</v>
      </c>
      <c r="Q4" s="34" t="s">
        <v>48</v>
      </c>
      <c r="R4" s="108"/>
      <c r="S4" s="108"/>
      <c r="T4" s="108"/>
      <c r="U4" s="152"/>
      <c r="V4" s="123"/>
      <c r="W4" s="123"/>
      <c r="X4" s="153"/>
      <c r="Y4" s="153"/>
      <c r="Z4" s="34"/>
      <c r="AA4" s="34" t="s">
        <v>47</v>
      </c>
      <c r="AB4" s="34" t="s">
        <v>48</v>
      </c>
      <c r="AC4" s="67"/>
      <c r="AD4" s="108"/>
      <c r="AE4" s="108"/>
      <c r="AF4" s="108"/>
      <c r="AG4" s="34" t="s">
        <v>47</v>
      </c>
      <c r="AH4" s="34" t="s">
        <v>48</v>
      </c>
    </row>
    <row r="5" ht="20" customHeight="1" spans="1:34">
      <c r="A5" s="111" t="s">
        <v>49</v>
      </c>
      <c r="B5" s="147">
        <f>B6+B21</f>
        <v>11460</v>
      </c>
      <c r="C5" s="147">
        <f>C6+C21</f>
        <v>10750</v>
      </c>
      <c r="D5" s="147">
        <f>D6+D21</f>
        <v>10753.31</v>
      </c>
      <c r="E5" s="148">
        <f t="shared" ref="E5:E11" si="0">D5/C5</f>
        <v>1.00030790697674</v>
      </c>
      <c r="F5" s="147">
        <f>F6+F21</f>
        <v>11300</v>
      </c>
      <c r="G5" s="147">
        <f>G6+G21</f>
        <v>10036</v>
      </c>
      <c r="H5" s="147">
        <f>H6+H21</f>
        <v>-800</v>
      </c>
      <c r="I5" s="147">
        <f>I6+I21</f>
        <v>10500</v>
      </c>
      <c r="J5" s="154" t="s">
        <v>50</v>
      </c>
      <c r="K5" s="50">
        <v>76365</v>
      </c>
      <c r="L5" s="50">
        <f>SUM(L6:L23)</f>
        <v>77466</v>
      </c>
      <c r="M5" s="50">
        <f>SUM(M6:M23)</f>
        <v>77423</v>
      </c>
      <c r="N5" s="155">
        <f t="shared" ref="N5:N11" si="1">M5/L5</f>
        <v>0.999444917770377</v>
      </c>
      <c r="O5" s="50">
        <f t="shared" ref="O5:O11" si="2">P5+Q5</f>
        <v>67171</v>
      </c>
      <c r="P5" s="50">
        <f>SUM(P6:P23)</f>
        <v>67171</v>
      </c>
      <c r="Q5" s="50">
        <f>SUM(Q6:Q23)</f>
        <v>0</v>
      </c>
      <c r="R5" s="102"/>
      <c r="S5" s="102"/>
      <c r="T5" s="102"/>
      <c r="U5" s="154" t="s">
        <v>50</v>
      </c>
      <c r="V5" s="50">
        <v>76365</v>
      </c>
      <c r="W5" s="50">
        <f>SUM(W6:W22)</f>
        <v>77466</v>
      </c>
      <c r="X5" s="50">
        <f>SUM(X6:X22)</f>
        <v>77423</v>
      </c>
      <c r="Y5" s="155">
        <f t="shared" ref="Y5:Y11" si="3">X5/W5</f>
        <v>0.999444917770377</v>
      </c>
      <c r="Z5" s="50">
        <v>78071</v>
      </c>
      <c r="AA5" s="50">
        <v>67171</v>
      </c>
      <c r="AB5" s="50">
        <v>10900</v>
      </c>
      <c r="AC5" s="155">
        <f t="shared" ref="AC5:AC10" si="4">(Z5-X5)/X5</f>
        <v>0.00836960593105408</v>
      </c>
      <c r="AD5" s="82">
        <f t="shared" ref="AD5:AI5" si="5">SUM(AD6:AD22)</f>
        <v>65618</v>
      </c>
      <c r="AE5" s="82">
        <f t="shared" si="5"/>
        <v>1888</v>
      </c>
      <c r="AF5" s="82">
        <f t="shared" si="5"/>
        <v>79959</v>
      </c>
      <c r="AG5" s="82">
        <f t="shared" si="5"/>
        <v>67171</v>
      </c>
      <c r="AH5" s="82">
        <f t="shared" si="5"/>
        <v>12788</v>
      </c>
    </row>
    <row r="6" ht="20" customHeight="1" spans="1:34">
      <c r="A6" s="111" t="s">
        <v>51</v>
      </c>
      <c r="B6" s="147">
        <v>9300</v>
      </c>
      <c r="C6" s="147">
        <f>SUM(C7:C20)</f>
        <v>8620</v>
      </c>
      <c r="D6" s="147">
        <f>SUM(D7:D20)</f>
        <v>8625.18</v>
      </c>
      <c r="E6" s="148">
        <f t="shared" si="0"/>
        <v>1.00060092807425</v>
      </c>
      <c r="F6" s="147">
        <f>SUM(F7:F20)</f>
        <v>9065</v>
      </c>
      <c r="G6" s="147">
        <f>SUM(G7:G20)</f>
        <v>8191</v>
      </c>
      <c r="H6" s="147">
        <v>-665</v>
      </c>
      <c r="I6" s="147">
        <f>SUM(I7:I20)</f>
        <v>8400</v>
      </c>
      <c r="J6" s="154" t="s">
        <v>52</v>
      </c>
      <c r="K6" s="50">
        <v>39864</v>
      </c>
      <c r="L6" s="50">
        <v>39864</v>
      </c>
      <c r="M6" s="50">
        <f>39864-20</f>
        <v>39844</v>
      </c>
      <c r="N6" s="155">
        <f t="shared" si="1"/>
        <v>0.999498294200281</v>
      </c>
      <c r="O6" s="50">
        <f t="shared" si="2"/>
        <v>40716</v>
      </c>
      <c r="P6" s="50">
        <f>42249+2-1221-313-1</f>
        <v>40716</v>
      </c>
      <c r="Q6" s="50">
        <f t="shared" ref="Q6:Q11" si="6">R6</f>
        <v>0</v>
      </c>
      <c r="R6" s="102"/>
      <c r="S6" s="102"/>
      <c r="T6" s="102"/>
      <c r="U6" s="154" t="s">
        <v>52</v>
      </c>
      <c r="V6" s="50">
        <v>39864</v>
      </c>
      <c r="W6" s="50">
        <v>39864</v>
      </c>
      <c r="X6" s="50">
        <f>39864-20</f>
        <v>39844</v>
      </c>
      <c r="Y6" s="155">
        <f t="shared" si="3"/>
        <v>0.999498294200281</v>
      </c>
      <c r="Z6" s="50">
        <v>40716</v>
      </c>
      <c r="AA6" s="50">
        <v>40716</v>
      </c>
      <c r="AB6" s="50">
        <v>0</v>
      </c>
      <c r="AC6" s="155">
        <f t="shared" si="4"/>
        <v>0.0218853528762172</v>
      </c>
      <c r="AD6" s="82">
        <f>31681+466+2375-950-300-50</f>
        <v>33222</v>
      </c>
      <c r="AE6" s="82"/>
      <c r="AF6" s="82">
        <f>Z6+AE6</f>
        <v>40716</v>
      </c>
      <c r="AG6" s="82">
        <v>40716</v>
      </c>
      <c r="AH6" s="82">
        <f t="shared" ref="AH6:AH11" si="7">AB6+AE6</f>
        <v>0</v>
      </c>
    </row>
    <row r="7" ht="20" customHeight="1" spans="1:37">
      <c r="A7" s="111" t="s">
        <v>53</v>
      </c>
      <c r="B7" s="147">
        <v>3850</v>
      </c>
      <c r="C7" s="147">
        <v>4515</v>
      </c>
      <c r="D7" s="147">
        <v>4520.09</v>
      </c>
      <c r="E7" s="148">
        <f t="shared" si="0"/>
        <v>1.00112735326689</v>
      </c>
      <c r="F7" s="147">
        <v>4630</v>
      </c>
      <c r="G7" s="147">
        <v>3629</v>
      </c>
      <c r="H7" s="147">
        <f>I7-F7</f>
        <v>-945</v>
      </c>
      <c r="I7" s="147">
        <f>3755-10-50-10</f>
        <v>3685</v>
      </c>
      <c r="J7" s="154" t="s">
        <v>54</v>
      </c>
      <c r="K7" s="50">
        <v>1450</v>
      </c>
      <c r="L7" s="50">
        <v>1450</v>
      </c>
      <c r="M7" s="39">
        <v>1450</v>
      </c>
      <c r="N7" s="155">
        <f t="shared" si="1"/>
        <v>1</v>
      </c>
      <c r="O7" s="50">
        <f t="shared" si="2"/>
        <v>1547</v>
      </c>
      <c r="P7" s="50">
        <v>1547</v>
      </c>
      <c r="Q7" s="50">
        <f t="shared" si="6"/>
        <v>0</v>
      </c>
      <c r="R7" s="102"/>
      <c r="S7" s="102"/>
      <c r="T7" s="102"/>
      <c r="U7" s="154" t="s">
        <v>54</v>
      </c>
      <c r="V7" s="50">
        <v>1450</v>
      </c>
      <c r="W7" s="50">
        <v>1450</v>
      </c>
      <c r="X7" s="39">
        <v>1450</v>
      </c>
      <c r="Y7" s="155">
        <f t="shared" si="3"/>
        <v>1</v>
      </c>
      <c r="Z7" s="50">
        <v>1547</v>
      </c>
      <c r="AA7" s="50">
        <v>1547</v>
      </c>
      <c r="AB7" s="50">
        <v>0</v>
      </c>
      <c r="AC7" s="155">
        <f t="shared" si="4"/>
        <v>0.0668965517241379</v>
      </c>
      <c r="AD7" s="82">
        <f>1547-90</f>
        <v>1457</v>
      </c>
      <c r="AE7" s="82"/>
      <c r="AF7" s="82">
        <f>SUM(AG7:AH7)</f>
        <v>1547</v>
      </c>
      <c r="AG7" s="82">
        <v>1547</v>
      </c>
      <c r="AH7" s="82">
        <f t="shared" si="7"/>
        <v>0</v>
      </c>
      <c r="AJ7" s="116">
        <v>3608</v>
      </c>
      <c r="AK7" s="116">
        <f>I7-AJ7</f>
        <v>77</v>
      </c>
    </row>
    <row r="8" ht="20" customHeight="1" spans="1:37">
      <c r="A8" s="126" t="s">
        <v>55</v>
      </c>
      <c r="B8" s="147">
        <v>210</v>
      </c>
      <c r="C8" s="147">
        <v>165</v>
      </c>
      <c r="D8" s="147">
        <v>162.91</v>
      </c>
      <c r="E8" s="148">
        <f t="shared" si="0"/>
        <v>0.987333333333333</v>
      </c>
      <c r="F8" s="147">
        <v>170</v>
      </c>
      <c r="G8" s="147">
        <v>159</v>
      </c>
      <c r="H8" s="147">
        <f>I8-F8</f>
        <v>-10</v>
      </c>
      <c r="I8" s="147">
        <v>160</v>
      </c>
      <c r="J8" s="154" t="s">
        <v>56</v>
      </c>
      <c r="K8" s="50">
        <v>8380</v>
      </c>
      <c r="L8" s="50">
        <v>7036</v>
      </c>
      <c r="M8" s="39">
        <v>7036</v>
      </c>
      <c r="N8" s="155">
        <f t="shared" si="1"/>
        <v>1</v>
      </c>
      <c r="O8" s="50">
        <f t="shared" si="2"/>
        <v>6960</v>
      </c>
      <c r="P8" s="50">
        <v>6960</v>
      </c>
      <c r="Q8" s="50">
        <f t="shared" si="6"/>
        <v>0</v>
      </c>
      <c r="R8" s="102"/>
      <c r="S8" s="102"/>
      <c r="T8" s="102"/>
      <c r="U8" s="154" t="s">
        <v>56</v>
      </c>
      <c r="V8" s="50">
        <v>8380</v>
      </c>
      <c r="W8" s="50">
        <v>7036</v>
      </c>
      <c r="X8" s="39">
        <v>7036</v>
      </c>
      <c r="Y8" s="155">
        <f t="shared" si="3"/>
        <v>1</v>
      </c>
      <c r="Z8" s="50">
        <v>6960</v>
      </c>
      <c r="AA8" s="50">
        <v>6960</v>
      </c>
      <c r="AB8" s="50">
        <v>0</v>
      </c>
      <c r="AC8" s="155">
        <f t="shared" si="4"/>
        <v>-0.0108015918135304</v>
      </c>
      <c r="AD8" s="82">
        <f>6960-560</f>
        <v>6400</v>
      </c>
      <c r="AE8" s="82"/>
      <c r="AF8" s="82">
        <f>SUM(AG8:AH8)</f>
        <v>6960</v>
      </c>
      <c r="AG8" s="82">
        <v>6960</v>
      </c>
      <c r="AH8" s="82">
        <f t="shared" si="7"/>
        <v>0</v>
      </c>
      <c r="AJ8" s="116">
        <v>158</v>
      </c>
      <c r="AK8" s="116">
        <f t="shared" ref="AK8:AK20" si="8">I8-AJ8</f>
        <v>2</v>
      </c>
    </row>
    <row r="9" ht="20" customHeight="1" spans="1:37">
      <c r="A9" s="126" t="s">
        <v>57</v>
      </c>
      <c r="B9" s="147">
        <v>510</v>
      </c>
      <c r="C9" s="147">
        <v>370</v>
      </c>
      <c r="D9" s="147">
        <v>370.6</v>
      </c>
      <c r="E9" s="148">
        <f t="shared" si="0"/>
        <v>1.00162162162162</v>
      </c>
      <c r="F9" s="147">
        <v>380</v>
      </c>
      <c r="G9" s="147">
        <v>470</v>
      </c>
      <c r="H9" s="147">
        <f>I9-F9</f>
        <v>95</v>
      </c>
      <c r="I9" s="147">
        <v>475</v>
      </c>
      <c r="J9" s="156" t="s">
        <v>58</v>
      </c>
      <c r="K9" s="50">
        <v>237</v>
      </c>
      <c r="L9" s="50">
        <v>122</v>
      </c>
      <c r="M9" s="39">
        <v>122</v>
      </c>
      <c r="N9" s="155">
        <f t="shared" si="1"/>
        <v>1</v>
      </c>
      <c r="O9" s="50">
        <f t="shared" si="2"/>
        <v>134</v>
      </c>
      <c r="P9" s="50">
        <v>134</v>
      </c>
      <c r="Q9" s="50">
        <f t="shared" si="6"/>
        <v>0</v>
      </c>
      <c r="R9" s="102"/>
      <c r="S9" s="102"/>
      <c r="T9" s="102"/>
      <c r="U9" s="154" t="s">
        <v>58</v>
      </c>
      <c r="V9" s="50">
        <v>237</v>
      </c>
      <c r="W9" s="50">
        <v>122</v>
      </c>
      <c r="X9" s="39">
        <v>122</v>
      </c>
      <c r="Y9" s="155">
        <f t="shared" si="3"/>
        <v>1</v>
      </c>
      <c r="Z9" s="50">
        <v>134</v>
      </c>
      <c r="AA9" s="50">
        <v>134</v>
      </c>
      <c r="AB9" s="50">
        <v>0</v>
      </c>
      <c r="AC9" s="155">
        <f t="shared" si="4"/>
        <v>0.0983606557377049</v>
      </c>
      <c r="AD9" s="82">
        <v>134</v>
      </c>
      <c r="AE9" s="82"/>
      <c r="AF9" s="82">
        <f>SUM(AG9:AH9)</f>
        <v>134</v>
      </c>
      <c r="AG9" s="82">
        <v>134</v>
      </c>
      <c r="AH9" s="82">
        <f t="shared" si="7"/>
        <v>0</v>
      </c>
      <c r="AJ9" s="116">
        <v>471</v>
      </c>
      <c r="AK9" s="116">
        <f t="shared" si="8"/>
        <v>4</v>
      </c>
    </row>
    <row r="10" ht="20" customHeight="1" spans="1:37">
      <c r="A10" s="126" t="s">
        <v>59</v>
      </c>
      <c r="B10" s="147">
        <v>140</v>
      </c>
      <c r="C10" s="147">
        <v>130</v>
      </c>
      <c r="D10" s="147">
        <v>129.65</v>
      </c>
      <c r="E10" s="148">
        <f t="shared" si="0"/>
        <v>0.997307692307692</v>
      </c>
      <c r="F10" s="147">
        <v>140</v>
      </c>
      <c r="G10" s="147">
        <v>496</v>
      </c>
      <c r="H10" s="147">
        <f>I10-F10</f>
        <v>360</v>
      </c>
      <c r="I10" s="147">
        <v>500</v>
      </c>
      <c r="J10" s="156" t="s">
        <v>60</v>
      </c>
      <c r="K10" s="50">
        <v>7000</v>
      </c>
      <c r="L10" s="50">
        <v>9421</v>
      </c>
      <c r="M10" s="39">
        <v>9421</v>
      </c>
      <c r="N10" s="155">
        <f t="shared" si="1"/>
        <v>1</v>
      </c>
      <c r="O10" s="50">
        <f t="shared" si="2"/>
        <v>0</v>
      </c>
      <c r="P10" s="50"/>
      <c r="Q10" s="50">
        <f t="shared" si="6"/>
        <v>0</v>
      </c>
      <c r="R10" s="102"/>
      <c r="S10" s="102"/>
      <c r="T10" s="102"/>
      <c r="U10" s="154" t="s">
        <v>60</v>
      </c>
      <c r="V10" s="50">
        <v>7000</v>
      </c>
      <c r="W10" s="50">
        <v>9421</v>
      </c>
      <c r="X10" s="39">
        <v>9421</v>
      </c>
      <c r="Y10" s="155">
        <f t="shared" si="3"/>
        <v>1</v>
      </c>
      <c r="Z10" s="50">
        <v>8900</v>
      </c>
      <c r="AA10" s="50"/>
      <c r="AB10" s="50">
        <v>8900</v>
      </c>
      <c r="AC10" s="155">
        <f t="shared" si="4"/>
        <v>-0.0553019849272901</v>
      </c>
      <c r="AD10" s="82">
        <v>7900</v>
      </c>
      <c r="AE10" s="82">
        <f>表三!D10</f>
        <v>300</v>
      </c>
      <c r="AF10" s="82">
        <f>SUM(AG10:AH10)</f>
        <v>9200</v>
      </c>
      <c r="AG10" s="82"/>
      <c r="AH10" s="82">
        <f t="shared" si="7"/>
        <v>9200</v>
      </c>
      <c r="AJ10" s="116">
        <v>496</v>
      </c>
      <c r="AK10" s="116">
        <f t="shared" si="8"/>
        <v>4</v>
      </c>
    </row>
    <row r="11" ht="20" customHeight="1" spans="1:37">
      <c r="A11" s="126" t="s">
        <v>61</v>
      </c>
      <c r="B11" s="147">
        <v>760</v>
      </c>
      <c r="C11" s="147">
        <v>845</v>
      </c>
      <c r="D11" s="147">
        <v>842.97</v>
      </c>
      <c r="E11" s="148">
        <f t="shared" si="0"/>
        <v>0.997597633136095</v>
      </c>
      <c r="F11" s="147">
        <v>900</v>
      </c>
      <c r="G11" s="147">
        <v>663</v>
      </c>
      <c r="H11" s="147">
        <f>I11-F11</f>
        <v>-230</v>
      </c>
      <c r="I11" s="147">
        <v>670</v>
      </c>
      <c r="J11" s="154" t="s">
        <v>62</v>
      </c>
      <c r="K11" s="50">
        <v>440</v>
      </c>
      <c r="L11" s="50">
        <v>100</v>
      </c>
      <c r="M11" s="39">
        <v>100</v>
      </c>
      <c r="N11" s="155">
        <f t="shared" si="1"/>
        <v>1</v>
      </c>
      <c r="O11" s="50">
        <f t="shared" si="2"/>
        <v>0</v>
      </c>
      <c r="P11" s="50"/>
      <c r="Q11" s="50">
        <f t="shared" si="6"/>
        <v>0</v>
      </c>
      <c r="R11" s="102"/>
      <c r="S11" s="102"/>
      <c r="T11" s="102"/>
      <c r="U11" s="154" t="s">
        <v>62</v>
      </c>
      <c r="V11" s="50">
        <v>440</v>
      </c>
      <c r="W11" s="50">
        <v>100</v>
      </c>
      <c r="X11" s="39">
        <v>100</v>
      </c>
      <c r="Y11" s="155">
        <f t="shared" si="3"/>
        <v>1</v>
      </c>
      <c r="Z11" s="50">
        <v>600</v>
      </c>
      <c r="AA11" s="50"/>
      <c r="AB11" s="50">
        <v>600</v>
      </c>
      <c r="AC11" s="155"/>
      <c r="AD11" s="82">
        <v>550</v>
      </c>
      <c r="AE11" s="82">
        <f>表三!D11</f>
        <v>-12</v>
      </c>
      <c r="AF11" s="82">
        <f>SUM(AG11:AH11)</f>
        <v>588</v>
      </c>
      <c r="AG11" s="82"/>
      <c r="AH11" s="82">
        <f t="shared" si="7"/>
        <v>588</v>
      </c>
      <c r="AJ11" s="116">
        <v>663</v>
      </c>
      <c r="AK11" s="116">
        <f t="shared" si="8"/>
        <v>7</v>
      </c>
    </row>
    <row r="12" ht="20" customHeight="1" spans="1:37">
      <c r="A12" s="126" t="s">
        <v>63</v>
      </c>
      <c r="B12" s="147">
        <v>270</v>
      </c>
      <c r="C12" s="147">
        <v>260</v>
      </c>
      <c r="D12" s="147">
        <v>259.05</v>
      </c>
      <c r="E12" s="148">
        <f t="shared" ref="E12:E41" si="9">D12/C12</f>
        <v>0.996346153846154</v>
      </c>
      <c r="F12" s="147">
        <v>280</v>
      </c>
      <c r="G12" s="147">
        <v>287</v>
      </c>
      <c r="H12" s="147">
        <f t="shared" ref="H12:H21" si="10">I12-F12</f>
        <v>25</v>
      </c>
      <c r="I12" s="147">
        <f>295+10</f>
        <v>305</v>
      </c>
      <c r="J12" s="154"/>
      <c r="K12" s="50"/>
      <c r="L12" s="50"/>
      <c r="M12" s="39"/>
      <c r="N12" s="155"/>
      <c r="O12" s="50"/>
      <c r="P12" s="50"/>
      <c r="Q12" s="50"/>
      <c r="R12" s="102"/>
      <c r="S12" s="102"/>
      <c r="T12" s="102"/>
      <c r="U12" s="154" t="s">
        <v>64</v>
      </c>
      <c r="V12" s="50">
        <v>1824</v>
      </c>
      <c r="W12" s="50">
        <v>1824</v>
      </c>
      <c r="X12" s="39">
        <v>1824</v>
      </c>
      <c r="Y12" s="155">
        <f t="shared" ref="Y12:Y44" si="11">X12/W12</f>
        <v>1</v>
      </c>
      <c r="Z12" s="50">
        <v>1847</v>
      </c>
      <c r="AA12" s="50">
        <v>1847</v>
      </c>
      <c r="AB12" s="50">
        <v>0</v>
      </c>
      <c r="AC12" s="155">
        <f t="shared" ref="AC12:AC23" si="12">(Z12-X12)/X12</f>
        <v>0.012609649122807</v>
      </c>
      <c r="AD12" s="82">
        <v>950</v>
      </c>
      <c r="AE12" s="82"/>
      <c r="AF12" s="82">
        <f t="shared" ref="AF12:AF37" si="13">SUM(AG12:AH12)</f>
        <v>1847</v>
      </c>
      <c r="AG12" s="82">
        <v>1847</v>
      </c>
      <c r="AH12" s="82">
        <f t="shared" ref="AH12:AH37" si="14">AB12+AE12</f>
        <v>0</v>
      </c>
      <c r="AJ12" s="116">
        <v>303</v>
      </c>
      <c r="AK12" s="116">
        <f t="shared" si="8"/>
        <v>2</v>
      </c>
    </row>
    <row r="13" ht="20" customHeight="1" spans="1:37">
      <c r="A13" s="126" t="s">
        <v>65</v>
      </c>
      <c r="B13" s="147">
        <v>650</v>
      </c>
      <c r="C13" s="147">
        <v>600</v>
      </c>
      <c r="D13" s="147">
        <v>597.67</v>
      </c>
      <c r="E13" s="148">
        <f t="shared" si="9"/>
        <v>0.996116666666667</v>
      </c>
      <c r="F13" s="147">
        <v>600</v>
      </c>
      <c r="G13" s="147">
        <v>452</v>
      </c>
      <c r="H13" s="147">
        <f t="shared" si="10"/>
        <v>-130</v>
      </c>
      <c r="I13" s="147">
        <f>460+10</f>
        <v>470</v>
      </c>
      <c r="J13" s="154" t="s">
        <v>64</v>
      </c>
      <c r="K13" s="50">
        <v>1824</v>
      </c>
      <c r="L13" s="50">
        <v>1824</v>
      </c>
      <c r="M13" s="39">
        <v>1824</v>
      </c>
      <c r="N13" s="155">
        <f t="shared" ref="N13:N45" si="15">M13/L13</f>
        <v>1</v>
      </c>
      <c r="O13" s="50">
        <f t="shared" ref="O13:O69" si="16">P13+Q13</f>
        <v>1847</v>
      </c>
      <c r="P13" s="50">
        <v>1847</v>
      </c>
      <c r="Q13" s="50">
        <f t="shared" ref="Q13:Q23" si="17">R13</f>
        <v>0</v>
      </c>
      <c r="R13" s="102"/>
      <c r="S13" s="102"/>
      <c r="T13" s="102"/>
      <c r="U13" s="154" t="s">
        <v>66</v>
      </c>
      <c r="V13" s="50">
        <v>2500</v>
      </c>
      <c r="W13" s="50">
        <v>3000</v>
      </c>
      <c r="X13" s="39">
        <f>3000-2</f>
        <v>2998</v>
      </c>
      <c r="Y13" s="155">
        <f t="shared" si="11"/>
        <v>0.999333333333333</v>
      </c>
      <c r="Z13" s="50">
        <v>1300</v>
      </c>
      <c r="AA13" s="50"/>
      <c r="AB13" s="50">
        <v>1300</v>
      </c>
      <c r="AC13" s="155">
        <f t="shared" si="12"/>
        <v>-0.566377585056704</v>
      </c>
      <c r="AD13" s="82">
        <f>786+300</f>
        <v>1086</v>
      </c>
      <c r="AE13" s="82">
        <f>表三!D7+表三!D6</f>
        <v>200</v>
      </c>
      <c r="AF13" s="82">
        <f t="shared" si="13"/>
        <v>1500</v>
      </c>
      <c r="AG13" s="82"/>
      <c r="AH13" s="82">
        <f t="shared" si="14"/>
        <v>1500</v>
      </c>
      <c r="AJ13" s="116">
        <v>469</v>
      </c>
      <c r="AK13" s="116">
        <f t="shared" si="8"/>
        <v>1</v>
      </c>
    </row>
    <row r="14" ht="20" customHeight="1" spans="1:37">
      <c r="A14" s="126" t="s">
        <v>67</v>
      </c>
      <c r="B14" s="147">
        <v>140</v>
      </c>
      <c r="C14" s="147">
        <v>105</v>
      </c>
      <c r="D14" s="147">
        <v>107.59</v>
      </c>
      <c r="E14" s="148">
        <f t="shared" si="9"/>
        <v>1.02466666666667</v>
      </c>
      <c r="F14" s="147">
        <v>120</v>
      </c>
      <c r="G14" s="147">
        <v>111</v>
      </c>
      <c r="H14" s="147">
        <f t="shared" si="10"/>
        <v>-5</v>
      </c>
      <c r="I14" s="147">
        <v>115</v>
      </c>
      <c r="J14" s="154" t="s">
        <v>66</v>
      </c>
      <c r="K14" s="50">
        <v>2500</v>
      </c>
      <c r="L14" s="50">
        <v>3000</v>
      </c>
      <c r="M14" s="39">
        <f>3000-2</f>
        <v>2998</v>
      </c>
      <c r="N14" s="155">
        <f t="shared" si="15"/>
        <v>0.999333333333333</v>
      </c>
      <c r="O14" s="50">
        <f t="shared" si="16"/>
        <v>0</v>
      </c>
      <c r="P14" s="50"/>
      <c r="Q14" s="50">
        <f t="shared" si="17"/>
        <v>0</v>
      </c>
      <c r="R14" s="102"/>
      <c r="S14" s="102"/>
      <c r="T14" s="102"/>
      <c r="U14" s="154" t="s">
        <v>68</v>
      </c>
      <c r="V14" s="50">
        <v>3399</v>
      </c>
      <c r="W14" s="50">
        <v>3399</v>
      </c>
      <c r="X14" s="39">
        <v>3399</v>
      </c>
      <c r="Y14" s="155">
        <f t="shared" si="11"/>
        <v>1</v>
      </c>
      <c r="Z14" s="50">
        <v>3805</v>
      </c>
      <c r="AA14" s="50">
        <v>3805</v>
      </c>
      <c r="AB14" s="50">
        <v>0</v>
      </c>
      <c r="AC14" s="155">
        <f t="shared" si="12"/>
        <v>0.119446896145925</v>
      </c>
      <c r="AD14" s="82">
        <v>3805</v>
      </c>
      <c r="AE14" s="82"/>
      <c r="AF14" s="82">
        <f t="shared" si="13"/>
        <v>3805</v>
      </c>
      <c r="AG14" s="82">
        <v>3805</v>
      </c>
      <c r="AH14" s="82">
        <f t="shared" si="14"/>
        <v>0</v>
      </c>
      <c r="AJ14" s="116">
        <v>115</v>
      </c>
      <c r="AK14" s="116">
        <f t="shared" si="8"/>
        <v>0</v>
      </c>
    </row>
    <row r="15" ht="20" customHeight="1" spans="1:37">
      <c r="A15" s="126" t="s">
        <v>69</v>
      </c>
      <c r="B15" s="147">
        <v>610</v>
      </c>
      <c r="C15" s="147">
        <v>435</v>
      </c>
      <c r="D15" s="147">
        <v>431.34</v>
      </c>
      <c r="E15" s="148">
        <f t="shared" si="9"/>
        <v>0.991586206896552</v>
      </c>
      <c r="F15" s="147">
        <v>450</v>
      </c>
      <c r="G15" s="147">
        <v>486</v>
      </c>
      <c r="H15" s="147">
        <f t="shared" si="10"/>
        <v>40</v>
      </c>
      <c r="I15" s="147">
        <v>490</v>
      </c>
      <c r="J15" s="154" t="s">
        <v>68</v>
      </c>
      <c r="K15" s="50">
        <v>3399</v>
      </c>
      <c r="L15" s="50">
        <v>3399</v>
      </c>
      <c r="M15" s="39">
        <v>3399</v>
      </c>
      <c r="N15" s="155">
        <f t="shared" si="15"/>
        <v>1</v>
      </c>
      <c r="O15" s="50">
        <f t="shared" si="16"/>
        <v>3805</v>
      </c>
      <c r="P15" s="50">
        <f>2584+1221</f>
        <v>3805</v>
      </c>
      <c r="Q15" s="50">
        <f t="shared" si="17"/>
        <v>0</v>
      </c>
      <c r="R15" s="102"/>
      <c r="S15" s="102"/>
      <c r="T15" s="102"/>
      <c r="U15" s="154" t="s">
        <v>70</v>
      </c>
      <c r="V15" s="50">
        <v>50</v>
      </c>
      <c r="W15" s="50">
        <v>50</v>
      </c>
      <c r="X15" s="39">
        <v>50</v>
      </c>
      <c r="Y15" s="155">
        <f t="shared" si="11"/>
        <v>1</v>
      </c>
      <c r="Z15" s="50">
        <v>50</v>
      </c>
      <c r="AA15" s="50"/>
      <c r="AB15" s="50">
        <v>50</v>
      </c>
      <c r="AC15" s="155">
        <f t="shared" si="12"/>
        <v>0</v>
      </c>
      <c r="AD15" s="82">
        <v>50</v>
      </c>
      <c r="AE15" s="82">
        <f>表三!D8</f>
        <v>0</v>
      </c>
      <c r="AF15" s="82">
        <f t="shared" si="13"/>
        <v>50</v>
      </c>
      <c r="AG15" s="82"/>
      <c r="AH15" s="82">
        <f t="shared" si="14"/>
        <v>50</v>
      </c>
      <c r="AJ15" s="116">
        <v>486</v>
      </c>
      <c r="AK15" s="116">
        <f t="shared" si="8"/>
        <v>4</v>
      </c>
    </row>
    <row r="16" ht="20" customHeight="1" spans="1:37">
      <c r="A16" s="126" t="s">
        <v>71</v>
      </c>
      <c r="B16" s="147">
        <v>250</v>
      </c>
      <c r="C16" s="147">
        <v>265</v>
      </c>
      <c r="D16" s="147">
        <v>266.5</v>
      </c>
      <c r="E16" s="148">
        <f t="shared" si="9"/>
        <v>1.00566037735849</v>
      </c>
      <c r="F16" s="147">
        <v>280</v>
      </c>
      <c r="G16" s="147">
        <v>292</v>
      </c>
      <c r="H16" s="147">
        <f t="shared" si="10"/>
        <v>40</v>
      </c>
      <c r="I16" s="147">
        <f>295+25</f>
        <v>320</v>
      </c>
      <c r="J16" s="154" t="s">
        <v>70</v>
      </c>
      <c r="K16" s="50">
        <v>50</v>
      </c>
      <c r="L16" s="50">
        <v>50</v>
      </c>
      <c r="M16" s="39">
        <v>50</v>
      </c>
      <c r="N16" s="155">
        <f t="shared" si="15"/>
        <v>1</v>
      </c>
      <c r="O16" s="50">
        <f t="shared" si="16"/>
        <v>0</v>
      </c>
      <c r="P16" s="50"/>
      <c r="Q16" s="50">
        <f t="shared" si="17"/>
        <v>0</v>
      </c>
      <c r="R16" s="102"/>
      <c r="S16" s="102"/>
      <c r="T16" s="102"/>
      <c r="U16" s="154" t="s">
        <v>72</v>
      </c>
      <c r="V16" s="50">
        <v>2355</v>
      </c>
      <c r="W16" s="50">
        <v>2648</v>
      </c>
      <c r="X16" s="39">
        <v>2648</v>
      </c>
      <c r="Y16" s="155">
        <f t="shared" si="11"/>
        <v>1</v>
      </c>
      <c r="Z16" s="50">
        <v>2446</v>
      </c>
      <c r="AA16" s="50">
        <v>2446</v>
      </c>
      <c r="AB16" s="50">
        <v>0</v>
      </c>
      <c r="AC16" s="155">
        <f t="shared" si="12"/>
        <v>-0.0762839879154079</v>
      </c>
      <c r="AD16" s="82">
        <v>2446</v>
      </c>
      <c r="AE16" s="82"/>
      <c r="AF16" s="82">
        <f t="shared" si="13"/>
        <v>2446</v>
      </c>
      <c r="AG16" s="82">
        <v>2446</v>
      </c>
      <c r="AH16" s="82">
        <f t="shared" si="14"/>
        <v>0</v>
      </c>
      <c r="AJ16" s="116">
        <v>317</v>
      </c>
      <c r="AK16" s="116">
        <f t="shared" si="8"/>
        <v>3</v>
      </c>
    </row>
    <row r="17" ht="20" customHeight="1" spans="1:37">
      <c r="A17" s="126" t="s">
        <v>73</v>
      </c>
      <c r="B17" s="147">
        <v>110</v>
      </c>
      <c r="C17" s="147">
        <v>155</v>
      </c>
      <c r="D17" s="147">
        <v>155.52</v>
      </c>
      <c r="E17" s="148">
        <f t="shared" si="9"/>
        <v>1.00335483870968</v>
      </c>
      <c r="F17" s="147">
        <v>160</v>
      </c>
      <c r="G17" s="147">
        <v>139</v>
      </c>
      <c r="H17" s="147">
        <f t="shared" si="10"/>
        <v>5</v>
      </c>
      <c r="I17" s="147">
        <v>165</v>
      </c>
      <c r="J17" s="154" t="s">
        <v>72</v>
      </c>
      <c r="K17" s="50">
        <v>2355</v>
      </c>
      <c r="L17" s="50">
        <v>2648</v>
      </c>
      <c r="M17" s="39">
        <v>2648</v>
      </c>
      <c r="N17" s="155">
        <f t="shared" si="15"/>
        <v>1</v>
      </c>
      <c r="O17" s="50">
        <f t="shared" si="16"/>
        <v>2446</v>
      </c>
      <c r="P17" s="50">
        <v>2446</v>
      </c>
      <c r="Q17" s="50">
        <f t="shared" si="17"/>
        <v>0</v>
      </c>
      <c r="R17" s="102"/>
      <c r="S17" s="102"/>
      <c r="T17" s="102"/>
      <c r="U17" s="154" t="s">
        <v>74</v>
      </c>
      <c r="V17" s="50">
        <v>344</v>
      </c>
      <c r="W17" s="50">
        <v>202</v>
      </c>
      <c r="X17" s="39">
        <v>202</v>
      </c>
      <c r="Y17" s="155">
        <f t="shared" si="11"/>
        <v>1</v>
      </c>
      <c r="Z17" s="50">
        <v>306</v>
      </c>
      <c r="AA17" s="50">
        <v>306</v>
      </c>
      <c r="AB17" s="50">
        <v>0</v>
      </c>
      <c r="AC17" s="155">
        <f t="shared" si="12"/>
        <v>0.514851485148515</v>
      </c>
      <c r="AD17" s="82">
        <v>306</v>
      </c>
      <c r="AE17" s="82"/>
      <c r="AF17" s="82">
        <f t="shared" si="13"/>
        <v>306</v>
      </c>
      <c r="AG17" s="82">
        <v>306</v>
      </c>
      <c r="AH17" s="82">
        <f t="shared" si="14"/>
        <v>0</v>
      </c>
      <c r="AJ17" s="116">
        <v>164</v>
      </c>
      <c r="AK17" s="116">
        <f t="shared" si="8"/>
        <v>1</v>
      </c>
    </row>
    <row r="18" ht="20" customHeight="1" spans="1:37">
      <c r="A18" s="126" t="s">
        <v>75</v>
      </c>
      <c r="B18" s="147">
        <v>800</v>
      </c>
      <c r="C18" s="147">
        <v>45</v>
      </c>
      <c r="D18" s="147">
        <v>45.6</v>
      </c>
      <c r="E18" s="148">
        <f t="shared" si="9"/>
        <v>1.01333333333333</v>
      </c>
      <c r="F18" s="147">
        <v>150</v>
      </c>
      <c r="G18" s="147">
        <v>165</v>
      </c>
      <c r="H18" s="147">
        <f t="shared" si="10"/>
        <v>15</v>
      </c>
      <c r="I18" s="147">
        <v>165</v>
      </c>
      <c r="J18" s="154" t="s">
        <v>74</v>
      </c>
      <c r="K18" s="50">
        <v>344</v>
      </c>
      <c r="L18" s="50">
        <v>202</v>
      </c>
      <c r="M18" s="39">
        <v>202</v>
      </c>
      <c r="N18" s="155">
        <f t="shared" si="15"/>
        <v>1</v>
      </c>
      <c r="O18" s="50">
        <f t="shared" si="16"/>
        <v>306</v>
      </c>
      <c r="P18" s="50">
        <v>306</v>
      </c>
      <c r="Q18" s="50">
        <f t="shared" si="17"/>
        <v>0</v>
      </c>
      <c r="R18" s="102"/>
      <c r="S18" s="102"/>
      <c r="T18" s="102"/>
      <c r="U18" s="154" t="s">
        <v>76</v>
      </c>
      <c r="V18" s="50">
        <v>1095</v>
      </c>
      <c r="W18" s="50">
        <v>1072</v>
      </c>
      <c r="X18" s="39">
        <v>1072</v>
      </c>
      <c r="Y18" s="155">
        <f t="shared" si="11"/>
        <v>1</v>
      </c>
      <c r="Z18" s="50">
        <v>1164</v>
      </c>
      <c r="AA18" s="50">
        <v>1164</v>
      </c>
      <c r="AB18" s="50">
        <v>0</v>
      </c>
      <c r="AC18" s="155">
        <f t="shared" si="12"/>
        <v>0.0858208955223881</v>
      </c>
      <c r="AD18" s="82">
        <v>1164</v>
      </c>
      <c r="AE18" s="82"/>
      <c r="AF18" s="82">
        <f t="shared" si="13"/>
        <v>1164</v>
      </c>
      <c r="AG18" s="82">
        <v>1164</v>
      </c>
      <c r="AH18" s="82">
        <f t="shared" si="14"/>
        <v>0</v>
      </c>
      <c r="AJ18" s="116">
        <v>165</v>
      </c>
      <c r="AK18" s="116">
        <f t="shared" si="8"/>
        <v>0</v>
      </c>
    </row>
    <row r="19" ht="20" customHeight="1" spans="1:37">
      <c r="A19" s="149" t="s">
        <v>77</v>
      </c>
      <c r="B19" s="50">
        <v>1000</v>
      </c>
      <c r="C19" s="147">
        <v>725</v>
      </c>
      <c r="D19" s="147">
        <v>733.2</v>
      </c>
      <c r="E19" s="148">
        <f t="shared" si="9"/>
        <v>1.01131034482759</v>
      </c>
      <c r="F19" s="147">
        <v>800</v>
      </c>
      <c r="G19" s="147">
        <v>840</v>
      </c>
      <c r="H19" s="147">
        <f t="shared" si="10"/>
        <v>75</v>
      </c>
      <c r="I19" s="147">
        <f>850+25</f>
        <v>875</v>
      </c>
      <c r="J19" s="154" t="s">
        <v>76</v>
      </c>
      <c r="K19" s="50">
        <v>1095</v>
      </c>
      <c r="L19" s="50">
        <v>1072</v>
      </c>
      <c r="M19" s="39">
        <v>1072</v>
      </c>
      <c r="N19" s="155">
        <f t="shared" si="15"/>
        <v>1</v>
      </c>
      <c r="O19" s="50">
        <f t="shared" si="16"/>
        <v>1164</v>
      </c>
      <c r="P19" s="50">
        <f>764+400</f>
        <v>1164</v>
      </c>
      <c r="Q19" s="50">
        <f t="shared" si="17"/>
        <v>0</v>
      </c>
      <c r="R19" s="102"/>
      <c r="S19" s="102"/>
      <c r="T19" s="102"/>
      <c r="U19" s="154" t="s">
        <v>78</v>
      </c>
      <c r="V19" s="50">
        <v>4709</v>
      </c>
      <c r="W19" s="50">
        <v>4560</v>
      </c>
      <c r="X19" s="39">
        <v>4560</v>
      </c>
      <c r="Y19" s="155">
        <f t="shared" si="11"/>
        <v>1</v>
      </c>
      <c r="Z19" s="50">
        <v>5685</v>
      </c>
      <c r="AA19" s="50">
        <v>5685</v>
      </c>
      <c r="AB19" s="50">
        <v>0</v>
      </c>
      <c r="AC19" s="155">
        <f t="shared" si="12"/>
        <v>0.246710526315789</v>
      </c>
      <c r="AD19" s="82">
        <f>5532-400</f>
        <v>5132</v>
      </c>
      <c r="AE19" s="82"/>
      <c r="AF19" s="82">
        <f t="shared" si="13"/>
        <v>5685</v>
      </c>
      <c r="AG19" s="82">
        <v>5685</v>
      </c>
      <c r="AH19" s="82">
        <f t="shared" si="14"/>
        <v>0</v>
      </c>
      <c r="AJ19" s="116">
        <v>863</v>
      </c>
      <c r="AK19" s="116">
        <f t="shared" si="8"/>
        <v>12</v>
      </c>
    </row>
    <row r="20" ht="20" customHeight="1" spans="1:37">
      <c r="A20" s="126" t="s">
        <v>79</v>
      </c>
      <c r="B20" s="147"/>
      <c r="C20" s="147">
        <v>5</v>
      </c>
      <c r="D20" s="147">
        <v>2.49</v>
      </c>
      <c r="E20" s="148">
        <f t="shared" si="9"/>
        <v>0.498</v>
      </c>
      <c r="F20" s="147">
        <v>5</v>
      </c>
      <c r="G20" s="147">
        <v>2</v>
      </c>
      <c r="H20" s="147">
        <f t="shared" si="10"/>
        <v>0</v>
      </c>
      <c r="I20" s="147">
        <v>5</v>
      </c>
      <c r="J20" s="154" t="s">
        <v>78</v>
      </c>
      <c r="K20" s="50">
        <v>4709</v>
      </c>
      <c r="L20" s="50">
        <v>4560</v>
      </c>
      <c r="M20" s="39">
        <v>4560</v>
      </c>
      <c r="N20" s="155">
        <f t="shared" si="15"/>
        <v>1</v>
      </c>
      <c r="O20" s="50">
        <f t="shared" si="16"/>
        <v>5685</v>
      </c>
      <c r="P20" s="50">
        <f>5682-5-2+10</f>
        <v>5685</v>
      </c>
      <c r="Q20" s="50">
        <f t="shared" si="17"/>
        <v>0</v>
      </c>
      <c r="R20" s="102"/>
      <c r="S20" s="102"/>
      <c r="T20" s="102"/>
      <c r="U20" s="154" t="s">
        <v>80</v>
      </c>
      <c r="V20" s="50">
        <v>60</v>
      </c>
      <c r="W20" s="50">
        <v>60</v>
      </c>
      <c r="X20" s="39">
        <v>39</v>
      </c>
      <c r="Y20" s="155">
        <f t="shared" si="11"/>
        <v>0.65</v>
      </c>
      <c r="Z20" s="50">
        <v>50</v>
      </c>
      <c r="AA20" s="50"/>
      <c r="AB20" s="50">
        <v>50</v>
      </c>
      <c r="AC20" s="155">
        <f t="shared" si="12"/>
        <v>0.282051282051282</v>
      </c>
      <c r="AD20" s="82">
        <v>28</v>
      </c>
      <c r="AE20" s="82">
        <f>表三!D9</f>
        <v>0</v>
      </c>
      <c r="AF20" s="82">
        <f t="shared" si="13"/>
        <v>50</v>
      </c>
      <c r="AG20" s="82"/>
      <c r="AH20" s="82">
        <f t="shared" si="14"/>
        <v>50</v>
      </c>
      <c r="AJ20" s="116">
        <v>2</v>
      </c>
      <c r="AK20" s="116">
        <f t="shared" si="8"/>
        <v>3</v>
      </c>
    </row>
    <row r="21" ht="20" customHeight="1" spans="1:34">
      <c r="A21" s="111" t="s">
        <v>81</v>
      </c>
      <c r="B21" s="108">
        <v>2160</v>
      </c>
      <c r="C21" s="147">
        <f>C22+C29+C30+C31+C32+C33</f>
        <v>2130</v>
      </c>
      <c r="D21" s="147">
        <f>D22+D29+D30+D31+D32+D33</f>
        <v>2128.13</v>
      </c>
      <c r="E21" s="148">
        <f t="shared" si="9"/>
        <v>0.999122065727699</v>
      </c>
      <c r="F21" s="147">
        <f>F22+F29+F30+F31+F32+F33</f>
        <v>2235</v>
      </c>
      <c r="G21" s="147">
        <f>G22+G29+G30+G31+G32+G33</f>
        <v>1845</v>
      </c>
      <c r="H21" s="147">
        <f t="shared" si="10"/>
        <v>-135</v>
      </c>
      <c r="I21" s="147">
        <f>I22+I29+I30+I31+I32+I33</f>
        <v>2100</v>
      </c>
      <c r="J21" s="154" t="s">
        <v>80</v>
      </c>
      <c r="K21" s="50">
        <v>60</v>
      </c>
      <c r="L21" s="50">
        <v>60</v>
      </c>
      <c r="M21" s="39">
        <v>39</v>
      </c>
      <c r="N21" s="155">
        <f t="shared" si="15"/>
        <v>0.65</v>
      </c>
      <c r="O21" s="50">
        <f t="shared" si="16"/>
        <v>0</v>
      </c>
      <c r="P21" s="50"/>
      <c r="Q21" s="50">
        <f t="shared" si="17"/>
        <v>0</v>
      </c>
      <c r="R21" s="102"/>
      <c r="S21" s="102"/>
      <c r="T21" s="102"/>
      <c r="U21" s="49" t="s">
        <v>82</v>
      </c>
      <c r="V21" s="50">
        <v>1367</v>
      </c>
      <c r="W21" s="50">
        <v>1367</v>
      </c>
      <c r="X21" s="39">
        <v>1367</v>
      </c>
      <c r="Y21" s="155">
        <f t="shared" si="11"/>
        <v>1</v>
      </c>
      <c r="Z21" s="50">
        <v>1291</v>
      </c>
      <c r="AA21" s="50">
        <v>1291</v>
      </c>
      <c r="AB21" s="50">
        <v>0</v>
      </c>
      <c r="AC21" s="155">
        <f t="shared" si="12"/>
        <v>-0.055596196049744</v>
      </c>
      <c r="AD21" s="82"/>
      <c r="AE21" s="82">
        <f>表三!D12</f>
        <v>1400</v>
      </c>
      <c r="AF21" s="82">
        <f t="shared" si="13"/>
        <v>2691</v>
      </c>
      <c r="AG21" s="82">
        <v>1291</v>
      </c>
      <c r="AH21" s="82">
        <f t="shared" si="14"/>
        <v>1400</v>
      </c>
    </row>
    <row r="22" ht="20" customHeight="1" spans="1:36">
      <c r="A22" s="52" t="s">
        <v>83</v>
      </c>
      <c r="B22" s="50">
        <v>520</v>
      </c>
      <c r="C22" s="147">
        <f>SUM(C23:C28)</f>
        <v>1130</v>
      </c>
      <c r="D22" s="147">
        <f>SUM(D23:D28)</f>
        <v>1124.39</v>
      </c>
      <c r="E22" s="148">
        <f t="shared" si="9"/>
        <v>0.995035398230088</v>
      </c>
      <c r="F22" s="147">
        <f>SUM(F23:F28)</f>
        <v>715</v>
      </c>
      <c r="G22" s="147">
        <f>SUM(G23:G28)</f>
        <v>437</v>
      </c>
      <c r="H22" s="147">
        <f t="shared" ref="H22:H33" si="18">I22-F22</f>
        <v>-260</v>
      </c>
      <c r="I22" s="147">
        <f>SUM(I23:I28)</f>
        <v>455</v>
      </c>
      <c r="J22" s="49" t="s">
        <v>82</v>
      </c>
      <c r="K22" s="50">
        <v>1367</v>
      </c>
      <c r="L22" s="50">
        <v>1367</v>
      </c>
      <c r="M22" s="39">
        <v>1367</v>
      </c>
      <c r="N22" s="155">
        <f t="shared" si="15"/>
        <v>1</v>
      </c>
      <c r="O22" s="50">
        <f t="shared" si="16"/>
        <v>1291</v>
      </c>
      <c r="P22" s="50">
        <f>1291</f>
        <v>1291</v>
      </c>
      <c r="Q22" s="50">
        <f t="shared" si="17"/>
        <v>0</v>
      </c>
      <c r="R22" s="102"/>
      <c r="S22" s="102"/>
      <c r="T22" s="102"/>
      <c r="U22" s="49" t="s">
        <v>84</v>
      </c>
      <c r="V22" s="50">
        <v>1291</v>
      </c>
      <c r="W22" s="50">
        <v>1291</v>
      </c>
      <c r="X22" s="39">
        <v>1291</v>
      </c>
      <c r="Y22" s="155">
        <f t="shared" si="11"/>
        <v>1</v>
      </c>
      <c r="Z22" s="50">
        <v>1270</v>
      </c>
      <c r="AA22" s="50">
        <v>1270</v>
      </c>
      <c r="AB22" s="50">
        <v>0</v>
      </c>
      <c r="AC22" s="155">
        <f t="shared" si="12"/>
        <v>-0.0162664601084431</v>
      </c>
      <c r="AD22" s="82">
        <v>988</v>
      </c>
      <c r="AE22" s="82"/>
      <c r="AF22" s="82">
        <f t="shared" si="13"/>
        <v>1270</v>
      </c>
      <c r="AG22" s="82">
        <v>1270</v>
      </c>
      <c r="AH22" s="82">
        <f t="shared" si="14"/>
        <v>0</v>
      </c>
      <c r="AJ22" s="116">
        <v>452</v>
      </c>
    </row>
    <row r="23" ht="20" customHeight="1" spans="1:36">
      <c r="A23" s="100" t="s">
        <v>85</v>
      </c>
      <c r="B23" s="39">
        <v>300</v>
      </c>
      <c r="C23" s="147">
        <v>345</v>
      </c>
      <c r="D23" s="147">
        <v>342.83</v>
      </c>
      <c r="E23" s="148">
        <f t="shared" si="9"/>
        <v>0.993710144927536</v>
      </c>
      <c r="F23" s="147">
        <v>350</v>
      </c>
      <c r="G23" s="147">
        <v>267</v>
      </c>
      <c r="H23" s="147">
        <f t="shared" si="18"/>
        <v>-75</v>
      </c>
      <c r="I23" s="147">
        <v>275</v>
      </c>
      <c r="J23" s="49" t="s">
        <v>84</v>
      </c>
      <c r="K23" s="50">
        <v>1291</v>
      </c>
      <c r="L23" s="50">
        <v>1291</v>
      </c>
      <c r="M23" s="39">
        <v>1291</v>
      </c>
      <c r="N23" s="155">
        <f t="shared" si="15"/>
        <v>1</v>
      </c>
      <c r="O23" s="50">
        <f t="shared" si="16"/>
        <v>1270</v>
      </c>
      <c r="P23" s="50">
        <v>1270</v>
      </c>
      <c r="Q23" s="50">
        <f t="shared" si="17"/>
        <v>0</v>
      </c>
      <c r="R23" s="102"/>
      <c r="S23" s="102"/>
      <c r="T23" s="102"/>
      <c r="U23" s="154" t="s">
        <v>86</v>
      </c>
      <c r="V23" s="50">
        <f t="shared" ref="V23:X23" si="19">V24+V28</f>
        <v>11680</v>
      </c>
      <c r="W23" s="50">
        <f t="shared" si="19"/>
        <v>11843</v>
      </c>
      <c r="X23" s="50">
        <f t="shared" si="19"/>
        <v>11843</v>
      </c>
      <c r="Y23" s="155">
        <f t="shared" si="11"/>
        <v>1</v>
      </c>
      <c r="Z23" s="50">
        <v>11430</v>
      </c>
      <c r="AA23" s="50">
        <v>10130</v>
      </c>
      <c r="AB23" s="50">
        <v>1300</v>
      </c>
      <c r="AC23" s="155">
        <f t="shared" si="12"/>
        <v>-0.0348729207126573</v>
      </c>
      <c r="AD23" s="82">
        <f>AD24+AD28</f>
        <v>11429</v>
      </c>
      <c r="AE23" s="82">
        <f>AE24+AE28</f>
        <v>0</v>
      </c>
      <c r="AF23" s="82">
        <f t="shared" si="13"/>
        <v>11430</v>
      </c>
      <c r="AG23" s="82">
        <v>10130</v>
      </c>
      <c r="AH23" s="82">
        <f t="shared" si="14"/>
        <v>1300</v>
      </c>
      <c r="AJ23" s="116">
        <v>1115</v>
      </c>
    </row>
    <row r="24" ht="20" customHeight="1" spans="1:36">
      <c r="A24" s="100" t="s">
        <v>87</v>
      </c>
      <c r="B24" s="39">
        <v>60</v>
      </c>
      <c r="C24" s="147">
        <v>60</v>
      </c>
      <c r="D24" s="147">
        <v>57.32</v>
      </c>
      <c r="E24" s="148">
        <f t="shared" si="9"/>
        <v>0.955333333333333</v>
      </c>
      <c r="F24" s="147">
        <v>60</v>
      </c>
      <c r="G24" s="147">
        <v>45</v>
      </c>
      <c r="H24" s="147">
        <f t="shared" si="18"/>
        <v>-10</v>
      </c>
      <c r="I24" s="147">
        <v>50</v>
      </c>
      <c r="J24" s="154" t="s">
        <v>86</v>
      </c>
      <c r="K24" s="50">
        <f t="shared" ref="K24:M24" si="20">K25+K29</f>
        <v>11680</v>
      </c>
      <c r="L24" s="50">
        <f t="shared" si="20"/>
        <v>11843</v>
      </c>
      <c r="M24" s="50">
        <f t="shared" si="20"/>
        <v>11843</v>
      </c>
      <c r="N24" s="155">
        <f t="shared" si="15"/>
        <v>1</v>
      </c>
      <c r="O24" s="50">
        <f t="shared" si="16"/>
        <v>10130</v>
      </c>
      <c r="P24" s="50">
        <f>P25+P29</f>
        <v>10130</v>
      </c>
      <c r="Q24" s="50">
        <f>Q25+Q29</f>
        <v>0</v>
      </c>
      <c r="R24" s="102"/>
      <c r="S24" s="102"/>
      <c r="T24" s="102"/>
      <c r="U24" s="154" t="s">
        <v>88</v>
      </c>
      <c r="V24" s="50">
        <f t="shared" ref="V24:X24" si="21">SUM(V25:V27)</f>
        <v>3694</v>
      </c>
      <c r="W24" s="50">
        <f t="shared" si="21"/>
        <v>3754</v>
      </c>
      <c r="X24" s="50">
        <f t="shared" si="21"/>
        <v>3754</v>
      </c>
      <c r="Y24" s="155">
        <f t="shared" si="11"/>
        <v>1</v>
      </c>
      <c r="Z24" s="50">
        <v>3573</v>
      </c>
      <c r="AA24" s="50">
        <v>3473</v>
      </c>
      <c r="AB24" s="50">
        <v>100</v>
      </c>
      <c r="AC24" s="155"/>
      <c r="AD24" s="82">
        <f>AD25+AD26+AD27</f>
        <v>3572</v>
      </c>
      <c r="AE24" s="82">
        <f>AE25+AE26+AE27</f>
        <v>0</v>
      </c>
      <c r="AF24" s="82">
        <f>AF25+AF26+AF27</f>
        <v>3573</v>
      </c>
      <c r="AG24" s="82">
        <v>3473</v>
      </c>
      <c r="AH24" s="82">
        <f t="shared" si="14"/>
        <v>100</v>
      </c>
      <c r="AJ24" s="116">
        <v>209</v>
      </c>
    </row>
    <row r="25" ht="20" customHeight="1" spans="1:36">
      <c r="A25" s="100" t="s">
        <v>89</v>
      </c>
      <c r="B25" s="39">
        <v>90</v>
      </c>
      <c r="C25" s="147">
        <v>110</v>
      </c>
      <c r="D25" s="147">
        <v>110.67</v>
      </c>
      <c r="E25" s="148">
        <f t="shared" si="9"/>
        <v>1.00609090909091</v>
      </c>
      <c r="F25" s="147">
        <v>100</v>
      </c>
      <c r="G25" s="147">
        <v>91</v>
      </c>
      <c r="H25" s="147">
        <f t="shared" si="18"/>
        <v>-5</v>
      </c>
      <c r="I25" s="147">
        <v>95</v>
      </c>
      <c r="J25" s="154" t="s">
        <v>88</v>
      </c>
      <c r="K25" s="50">
        <f t="shared" ref="K25:M25" si="22">SUM(K26:K28)</f>
        <v>3694</v>
      </c>
      <c r="L25" s="50">
        <f t="shared" si="22"/>
        <v>3754</v>
      </c>
      <c r="M25" s="50">
        <f t="shared" si="22"/>
        <v>3754</v>
      </c>
      <c r="N25" s="155">
        <f t="shared" si="15"/>
        <v>1</v>
      </c>
      <c r="O25" s="50">
        <f t="shared" si="16"/>
        <v>3473</v>
      </c>
      <c r="P25" s="50">
        <f>SUM(P26:P28)</f>
        <v>3473</v>
      </c>
      <c r="Q25" s="50">
        <f>SUM(Q26:Q28)</f>
        <v>0</v>
      </c>
      <c r="R25" s="102"/>
      <c r="S25" s="102"/>
      <c r="T25" s="102"/>
      <c r="U25" s="154" t="s">
        <v>90</v>
      </c>
      <c r="V25" s="50">
        <v>3227</v>
      </c>
      <c r="W25" s="50">
        <v>3227</v>
      </c>
      <c r="X25" s="39">
        <v>3227</v>
      </c>
      <c r="Y25" s="155">
        <f t="shared" si="11"/>
        <v>1</v>
      </c>
      <c r="Z25" s="50">
        <v>3106</v>
      </c>
      <c r="AA25" s="50">
        <v>3106</v>
      </c>
      <c r="AB25" s="50">
        <v>0</v>
      </c>
      <c r="AC25" s="155">
        <f t="shared" ref="AC25:AC44" si="23">(Z25-X25)/X25</f>
        <v>-0.0374961264332197</v>
      </c>
      <c r="AD25" s="82">
        <v>3106</v>
      </c>
      <c r="AE25" s="82"/>
      <c r="AF25" s="82">
        <f>AG25+AH25</f>
        <v>3106</v>
      </c>
      <c r="AG25" s="82">
        <v>3106</v>
      </c>
      <c r="AH25" s="82">
        <f t="shared" si="14"/>
        <v>0</v>
      </c>
      <c r="AJ25" s="116">
        <v>77</v>
      </c>
    </row>
    <row r="26" ht="20" customHeight="1" spans="1:36">
      <c r="A26" s="100" t="s">
        <v>91</v>
      </c>
      <c r="B26" s="39">
        <v>50</v>
      </c>
      <c r="C26" s="147">
        <v>55</v>
      </c>
      <c r="D26" s="147">
        <v>54.12</v>
      </c>
      <c r="E26" s="148">
        <f t="shared" si="9"/>
        <v>0.984</v>
      </c>
      <c r="F26" s="147">
        <v>55</v>
      </c>
      <c r="G26" s="147">
        <v>34</v>
      </c>
      <c r="H26" s="147">
        <f t="shared" si="18"/>
        <v>-20</v>
      </c>
      <c r="I26" s="147">
        <v>35</v>
      </c>
      <c r="J26" s="154" t="s">
        <v>90</v>
      </c>
      <c r="K26" s="50">
        <v>3227</v>
      </c>
      <c r="L26" s="50">
        <v>3227</v>
      </c>
      <c r="M26" s="39">
        <v>3227</v>
      </c>
      <c r="N26" s="155">
        <f t="shared" si="15"/>
        <v>1</v>
      </c>
      <c r="O26" s="50">
        <f t="shared" si="16"/>
        <v>3106</v>
      </c>
      <c r="P26" s="50">
        <v>3106</v>
      </c>
      <c r="Q26" s="50">
        <f t="shared" ref="Q26:Q28" si="24">R26</f>
        <v>0</v>
      </c>
      <c r="R26" s="102"/>
      <c r="S26" s="102"/>
      <c r="T26" s="102"/>
      <c r="U26" s="154" t="s">
        <v>92</v>
      </c>
      <c r="V26" s="50">
        <v>100</v>
      </c>
      <c r="W26" s="50">
        <v>160</v>
      </c>
      <c r="X26" s="39">
        <v>160</v>
      </c>
      <c r="Y26" s="155">
        <f t="shared" si="11"/>
        <v>1</v>
      </c>
      <c r="Z26" s="50">
        <v>100</v>
      </c>
      <c r="AA26" s="50"/>
      <c r="AB26" s="50">
        <v>100</v>
      </c>
      <c r="AC26" s="155">
        <f t="shared" si="23"/>
        <v>-0.375</v>
      </c>
      <c r="AD26" s="82">
        <f>表三!C15</f>
        <v>99</v>
      </c>
      <c r="AE26" s="82">
        <f>表三!D15</f>
        <v>0</v>
      </c>
      <c r="AF26" s="82">
        <f t="shared" si="13"/>
        <v>100</v>
      </c>
      <c r="AG26" s="82"/>
      <c r="AH26" s="82">
        <f t="shared" si="14"/>
        <v>100</v>
      </c>
      <c r="AJ26" s="116">
        <v>39</v>
      </c>
    </row>
    <row r="27" ht="20" customHeight="1" spans="1:34">
      <c r="A27" s="100" t="s">
        <v>93</v>
      </c>
      <c r="B27" s="39"/>
      <c r="C27" s="147">
        <v>560</v>
      </c>
      <c r="D27" s="147">
        <v>559.45</v>
      </c>
      <c r="E27" s="148">
        <f t="shared" si="9"/>
        <v>0.999017857142857</v>
      </c>
      <c r="F27" s="147">
        <v>150</v>
      </c>
      <c r="G27" s="147"/>
      <c r="H27" s="147">
        <f t="shared" si="18"/>
        <v>-150</v>
      </c>
      <c r="I27" s="147"/>
      <c r="J27" s="154" t="s">
        <v>92</v>
      </c>
      <c r="K27" s="50">
        <v>100</v>
      </c>
      <c r="L27" s="50">
        <v>160</v>
      </c>
      <c r="M27" s="39">
        <v>160</v>
      </c>
      <c r="N27" s="155">
        <f t="shared" si="15"/>
        <v>1</v>
      </c>
      <c r="O27" s="50">
        <f t="shared" si="16"/>
        <v>0</v>
      </c>
      <c r="P27" s="50"/>
      <c r="Q27" s="50">
        <f t="shared" si="24"/>
        <v>0</v>
      </c>
      <c r="R27" s="102"/>
      <c r="S27" s="102"/>
      <c r="T27" s="102"/>
      <c r="U27" s="154" t="s">
        <v>94</v>
      </c>
      <c r="V27" s="50">
        <v>367</v>
      </c>
      <c r="W27" s="50">
        <v>367</v>
      </c>
      <c r="X27" s="39">
        <v>367</v>
      </c>
      <c r="Y27" s="155">
        <f t="shared" si="11"/>
        <v>1</v>
      </c>
      <c r="Z27" s="50">
        <v>367</v>
      </c>
      <c r="AA27" s="50">
        <v>367</v>
      </c>
      <c r="AB27" s="50">
        <v>0</v>
      </c>
      <c r="AC27" s="155">
        <f t="shared" si="23"/>
        <v>0</v>
      </c>
      <c r="AD27" s="82">
        <v>367</v>
      </c>
      <c r="AE27" s="82"/>
      <c r="AF27" s="82">
        <f t="shared" si="13"/>
        <v>367</v>
      </c>
      <c r="AG27" s="82">
        <v>367</v>
      </c>
      <c r="AH27" s="82">
        <f t="shared" si="14"/>
        <v>0</v>
      </c>
    </row>
    <row r="28" ht="20" customHeight="1" spans="1:34">
      <c r="A28" s="100" t="s">
        <v>95</v>
      </c>
      <c r="B28" s="39">
        <v>20</v>
      </c>
      <c r="C28" s="147"/>
      <c r="D28" s="147"/>
      <c r="E28" s="148"/>
      <c r="F28" s="147"/>
      <c r="G28" s="147"/>
      <c r="H28" s="147">
        <f t="shared" si="18"/>
        <v>0</v>
      </c>
      <c r="I28" s="147"/>
      <c r="J28" s="154" t="s">
        <v>94</v>
      </c>
      <c r="K28" s="50">
        <v>367</v>
      </c>
      <c r="L28" s="50">
        <v>367</v>
      </c>
      <c r="M28" s="39">
        <v>367</v>
      </c>
      <c r="N28" s="155">
        <f t="shared" si="15"/>
        <v>1</v>
      </c>
      <c r="O28" s="50">
        <f t="shared" si="16"/>
        <v>367</v>
      </c>
      <c r="P28" s="50">
        <v>367</v>
      </c>
      <c r="Q28" s="50">
        <f t="shared" si="24"/>
        <v>0</v>
      </c>
      <c r="R28" s="102"/>
      <c r="S28" s="102"/>
      <c r="T28" s="102"/>
      <c r="U28" s="154" t="s">
        <v>96</v>
      </c>
      <c r="V28" s="50">
        <f t="shared" ref="V28:X28" si="25">SUM(V29:V35)</f>
        <v>7986</v>
      </c>
      <c r="W28" s="50">
        <f t="shared" si="25"/>
        <v>8089</v>
      </c>
      <c r="X28" s="50">
        <f t="shared" si="25"/>
        <v>8089</v>
      </c>
      <c r="Y28" s="155">
        <f t="shared" si="11"/>
        <v>1</v>
      </c>
      <c r="Z28" s="50">
        <v>7857</v>
      </c>
      <c r="AA28" s="50">
        <v>6657</v>
      </c>
      <c r="AB28" s="50">
        <v>1200</v>
      </c>
      <c r="AC28" s="155">
        <f t="shared" si="23"/>
        <v>-0.0286809247125726</v>
      </c>
      <c r="AD28" s="82">
        <f>SUM(AD29:AD35)</f>
        <v>7857</v>
      </c>
      <c r="AE28" s="82">
        <f>SUM(AE29:AE35)</f>
        <v>0</v>
      </c>
      <c r="AF28" s="82">
        <f t="shared" si="13"/>
        <v>7857</v>
      </c>
      <c r="AG28" s="82">
        <v>6657</v>
      </c>
      <c r="AH28" s="82">
        <f t="shared" si="14"/>
        <v>1200</v>
      </c>
    </row>
    <row r="29" ht="20" customHeight="1" spans="1:34">
      <c r="A29" s="52" t="s">
        <v>97</v>
      </c>
      <c r="B29" s="50">
        <v>950</v>
      </c>
      <c r="C29" s="50">
        <v>325</v>
      </c>
      <c r="D29" s="147">
        <v>325.58</v>
      </c>
      <c r="E29" s="148">
        <f t="shared" si="9"/>
        <v>1.00178461538462</v>
      </c>
      <c r="F29" s="50">
        <f>840-150</f>
        <v>690</v>
      </c>
      <c r="G29" s="50">
        <v>55</v>
      </c>
      <c r="H29" s="147">
        <f t="shared" si="18"/>
        <v>-610</v>
      </c>
      <c r="I29" s="50">
        <f>80</f>
        <v>80</v>
      </c>
      <c r="J29" s="154" t="s">
        <v>96</v>
      </c>
      <c r="K29" s="50">
        <f t="shared" ref="K29:M29" si="26">SUM(K30:K36)</f>
        <v>7986</v>
      </c>
      <c r="L29" s="50">
        <f t="shared" si="26"/>
        <v>8089</v>
      </c>
      <c r="M29" s="50">
        <f t="shared" si="26"/>
        <v>8089</v>
      </c>
      <c r="N29" s="155">
        <f t="shared" si="15"/>
        <v>1</v>
      </c>
      <c r="O29" s="50">
        <f t="shared" si="16"/>
        <v>6657</v>
      </c>
      <c r="P29" s="50">
        <f>SUM(P30:P36)</f>
        <v>6657</v>
      </c>
      <c r="Q29" s="50">
        <f>SUM(Q30:Q36)</f>
        <v>0</v>
      </c>
      <c r="R29" s="102"/>
      <c r="S29" s="102"/>
      <c r="T29" s="102"/>
      <c r="U29" s="154" t="s">
        <v>98</v>
      </c>
      <c r="V29" s="50">
        <v>4925</v>
      </c>
      <c r="W29" s="50">
        <v>4925</v>
      </c>
      <c r="X29" s="39">
        <v>4925</v>
      </c>
      <c r="Y29" s="155">
        <f t="shared" si="11"/>
        <v>1</v>
      </c>
      <c r="Z29" s="50">
        <v>4978</v>
      </c>
      <c r="AA29" s="50">
        <v>4978</v>
      </c>
      <c r="AB29" s="50">
        <v>0</v>
      </c>
      <c r="AC29" s="155">
        <f t="shared" si="23"/>
        <v>0.010761421319797</v>
      </c>
      <c r="AD29" s="82">
        <v>4978</v>
      </c>
      <c r="AE29" s="82"/>
      <c r="AF29" s="82">
        <f t="shared" si="13"/>
        <v>4978</v>
      </c>
      <c r="AG29" s="82">
        <v>4978</v>
      </c>
      <c r="AH29" s="82">
        <f t="shared" si="14"/>
        <v>0</v>
      </c>
    </row>
    <row r="30" ht="20" customHeight="1" spans="1:34">
      <c r="A30" s="52" t="s">
        <v>99</v>
      </c>
      <c r="B30" s="50">
        <v>250</v>
      </c>
      <c r="C30" s="50">
        <v>325</v>
      </c>
      <c r="D30" s="147">
        <v>325.28</v>
      </c>
      <c r="E30" s="148">
        <f t="shared" si="9"/>
        <v>1.00086153846154</v>
      </c>
      <c r="F30" s="50">
        <v>350</v>
      </c>
      <c r="G30" s="50">
        <v>1108</v>
      </c>
      <c r="H30" s="147">
        <f t="shared" si="18"/>
        <v>760</v>
      </c>
      <c r="I30" s="50">
        <v>1110</v>
      </c>
      <c r="J30" s="154" t="s">
        <v>98</v>
      </c>
      <c r="K30" s="50">
        <v>4925</v>
      </c>
      <c r="L30" s="50">
        <v>4925</v>
      </c>
      <c r="M30" s="39">
        <v>4925</v>
      </c>
      <c r="N30" s="155">
        <f t="shared" si="15"/>
        <v>1</v>
      </c>
      <c r="O30" s="50">
        <f t="shared" si="16"/>
        <v>4978</v>
      </c>
      <c r="P30" s="50">
        <f>4978</f>
        <v>4978</v>
      </c>
      <c r="Q30" s="50">
        <f t="shared" ref="Q30:Q37" si="27">R30</f>
        <v>0</v>
      </c>
      <c r="R30" s="102"/>
      <c r="S30" s="102"/>
      <c r="T30" s="102"/>
      <c r="U30" s="157" t="s">
        <v>100</v>
      </c>
      <c r="V30" s="50">
        <v>506</v>
      </c>
      <c r="W30" s="50">
        <v>506</v>
      </c>
      <c r="X30" s="39">
        <v>506</v>
      </c>
      <c r="Y30" s="155">
        <f t="shared" si="11"/>
        <v>1</v>
      </c>
      <c r="Z30" s="50">
        <v>471</v>
      </c>
      <c r="AA30" s="50">
        <v>471</v>
      </c>
      <c r="AB30" s="50">
        <v>0</v>
      </c>
      <c r="AC30" s="155">
        <f t="shared" si="23"/>
        <v>-0.0691699604743083</v>
      </c>
      <c r="AD30" s="82">
        <v>471</v>
      </c>
      <c r="AE30" s="82"/>
      <c r="AF30" s="82">
        <f t="shared" si="13"/>
        <v>471</v>
      </c>
      <c r="AG30" s="82">
        <v>471</v>
      </c>
      <c r="AH30" s="82">
        <f t="shared" si="14"/>
        <v>0</v>
      </c>
    </row>
    <row r="31" ht="20" customHeight="1" spans="1:34">
      <c r="A31" s="52" t="s">
        <v>101</v>
      </c>
      <c r="B31" s="50">
        <v>440</v>
      </c>
      <c r="C31" s="50">
        <v>265</v>
      </c>
      <c r="D31" s="147">
        <v>266.69</v>
      </c>
      <c r="E31" s="148">
        <f t="shared" si="9"/>
        <v>1.00637735849057</v>
      </c>
      <c r="F31" s="50">
        <v>400</v>
      </c>
      <c r="G31" s="50">
        <v>206</v>
      </c>
      <c r="H31" s="147">
        <f t="shared" si="18"/>
        <v>-190</v>
      </c>
      <c r="I31" s="50">
        <v>210</v>
      </c>
      <c r="J31" s="157" t="s">
        <v>100</v>
      </c>
      <c r="K31" s="50">
        <v>506</v>
      </c>
      <c r="L31" s="50">
        <v>506</v>
      </c>
      <c r="M31" s="39">
        <v>506</v>
      </c>
      <c r="N31" s="155">
        <f t="shared" si="15"/>
        <v>1</v>
      </c>
      <c r="O31" s="50">
        <f t="shared" si="16"/>
        <v>471</v>
      </c>
      <c r="P31" s="50">
        <v>471</v>
      </c>
      <c r="Q31" s="50">
        <f t="shared" si="27"/>
        <v>0</v>
      </c>
      <c r="R31" s="102"/>
      <c r="S31" s="102"/>
      <c r="T31" s="102"/>
      <c r="U31" s="154" t="s">
        <v>102</v>
      </c>
      <c r="V31" s="50">
        <v>650</v>
      </c>
      <c r="W31" s="50">
        <v>600</v>
      </c>
      <c r="X31" s="39">
        <v>600</v>
      </c>
      <c r="Y31" s="155">
        <f t="shared" si="11"/>
        <v>1</v>
      </c>
      <c r="Z31" s="50">
        <v>550</v>
      </c>
      <c r="AA31" s="50"/>
      <c r="AB31" s="50">
        <v>550</v>
      </c>
      <c r="AC31" s="155">
        <f t="shared" si="23"/>
        <v>-0.0833333333333333</v>
      </c>
      <c r="AD31" s="82">
        <f>表三!C16</f>
        <v>550</v>
      </c>
      <c r="AE31" s="82">
        <f>表三!D16</f>
        <v>0</v>
      </c>
      <c r="AF31" s="82">
        <f>Z31+AE31</f>
        <v>550</v>
      </c>
      <c r="AG31" s="82"/>
      <c r="AH31" s="82">
        <f t="shared" si="14"/>
        <v>550</v>
      </c>
    </row>
    <row r="32" ht="20" customHeight="1" spans="1:34">
      <c r="A32" s="52" t="s">
        <v>103</v>
      </c>
      <c r="B32" s="50"/>
      <c r="C32" s="50">
        <v>85</v>
      </c>
      <c r="D32" s="147">
        <v>86.19</v>
      </c>
      <c r="E32" s="148">
        <f t="shared" si="9"/>
        <v>1.014</v>
      </c>
      <c r="F32" s="50">
        <v>80</v>
      </c>
      <c r="G32" s="50">
        <v>39</v>
      </c>
      <c r="H32" s="147">
        <f t="shared" si="18"/>
        <v>165</v>
      </c>
      <c r="I32" s="50">
        <f>40+205</f>
        <v>245</v>
      </c>
      <c r="J32" s="154" t="s">
        <v>102</v>
      </c>
      <c r="K32" s="50">
        <v>650</v>
      </c>
      <c r="L32" s="50">
        <v>600</v>
      </c>
      <c r="M32" s="39">
        <v>600</v>
      </c>
      <c r="N32" s="155">
        <f t="shared" si="15"/>
        <v>1</v>
      </c>
      <c r="O32" s="50">
        <f t="shared" si="16"/>
        <v>0</v>
      </c>
      <c r="P32" s="50"/>
      <c r="Q32" s="50">
        <f t="shared" si="27"/>
        <v>0</v>
      </c>
      <c r="R32" s="102"/>
      <c r="S32" s="102"/>
      <c r="T32" s="102"/>
      <c r="U32" s="154" t="s">
        <v>104</v>
      </c>
      <c r="V32" s="50">
        <v>300</v>
      </c>
      <c r="W32" s="50">
        <v>500</v>
      </c>
      <c r="X32" s="39">
        <v>500</v>
      </c>
      <c r="Y32" s="155">
        <f t="shared" si="11"/>
        <v>1</v>
      </c>
      <c r="Z32" s="50">
        <v>300</v>
      </c>
      <c r="AA32" s="50"/>
      <c r="AB32" s="50">
        <v>300</v>
      </c>
      <c r="AC32" s="155">
        <f t="shared" si="23"/>
        <v>-0.4</v>
      </c>
      <c r="AD32" s="82">
        <f>表三!C14</f>
        <v>300</v>
      </c>
      <c r="AE32" s="82">
        <f>表三!D14</f>
        <v>0</v>
      </c>
      <c r="AF32" s="82">
        <f t="shared" si="13"/>
        <v>300</v>
      </c>
      <c r="AG32" s="82"/>
      <c r="AH32" s="82">
        <f t="shared" si="14"/>
        <v>300</v>
      </c>
    </row>
    <row r="33" ht="20" customHeight="1" spans="1:34">
      <c r="A33" s="52" t="s">
        <v>105</v>
      </c>
      <c r="B33" s="50"/>
      <c r="C33" s="50"/>
      <c r="D33" s="147"/>
      <c r="E33" s="148"/>
      <c r="F33" s="50"/>
      <c r="G33" s="50"/>
      <c r="H33" s="147">
        <f t="shared" si="18"/>
        <v>0</v>
      </c>
      <c r="I33" s="50"/>
      <c r="J33" s="154" t="s">
        <v>104</v>
      </c>
      <c r="K33" s="50">
        <v>300</v>
      </c>
      <c r="L33" s="50">
        <v>500</v>
      </c>
      <c r="M33" s="39">
        <v>500</v>
      </c>
      <c r="N33" s="155">
        <f t="shared" si="15"/>
        <v>1</v>
      </c>
      <c r="O33" s="50">
        <f t="shared" si="16"/>
        <v>0</v>
      </c>
      <c r="P33" s="50"/>
      <c r="Q33" s="50">
        <f t="shared" si="27"/>
        <v>0</v>
      </c>
      <c r="R33" s="102"/>
      <c r="S33" s="102"/>
      <c r="T33" s="102"/>
      <c r="U33" s="158" t="s">
        <v>106</v>
      </c>
      <c r="V33" s="50">
        <v>555</v>
      </c>
      <c r="W33" s="50">
        <v>555</v>
      </c>
      <c r="X33" s="39">
        <v>555</v>
      </c>
      <c r="Y33" s="155">
        <f t="shared" si="11"/>
        <v>1</v>
      </c>
      <c r="Z33" s="50">
        <v>555</v>
      </c>
      <c r="AA33" s="50">
        <v>355</v>
      </c>
      <c r="AB33" s="50">
        <v>200</v>
      </c>
      <c r="AC33" s="155">
        <f t="shared" si="23"/>
        <v>0</v>
      </c>
      <c r="AD33" s="82">
        <f>355+表三!C17</f>
        <v>555</v>
      </c>
      <c r="AE33" s="82"/>
      <c r="AF33" s="82">
        <f t="shared" si="13"/>
        <v>555</v>
      </c>
      <c r="AG33" s="82">
        <v>355</v>
      </c>
      <c r="AH33" s="82">
        <f t="shared" si="14"/>
        <v>200</v>
      </c>
    </row>
    <row r="34" ht="20" customHeight="1" spans="1:34">
      <c r="A34" s="111" t="s">
        <v>107</v>
      </c>
      <c r="B34" s="39">
        <f>B35+B39+B61</f>
        <v>272818</v>
      </c>
      <c r="C34" s="39">
        <f>C35+C39+C61</f>
        <v>295478</v>
      </c>
      <c r="D34" s="39">
        <f>D35+D39+D61</f>
        <v>297455</v>
      </c>
      <c r="E34" s="148">
        <f t="shared" si="9"/>
        <v>1.00669085346456</v>
      </c>
      <c r="F34" s="39">
        <f>F35+F39+F61</f>
        <v>299029</v>
      </c>
      <c r="G34" s="39">
        <f>G35+G39+G61</f>
        <v>325009</v>
      </c>
      <c r="H34" s="39">
        <f>H35+H39+H61</f>
        <v>29126</v>
      </c>
      <c r="I34" s="39">
        <f>I35+I39+I61</f>
        <v>328155</v>
      </c>
      <c r="J34" s="158" t="s">
        <v>106</v>
      </c>
      <c r="K34" s="50">
        <v>555</v>
      </c>
      <c r="L34" s="50">
        <v>555</v>
      </c>
      <c r="M34" s="39">
        <v>555</v>
      </c>
      <c r="N34" s="155">
        <f t="shared" si="15"/>
        <v>1</v>
      </c>
      <c r="O34" s="50">
        <f t="shared" si="16"/>
        <v>355</v>
      </c>
      <c r="P34" s="50">
        <v>355</v>
      </c>
      <c r="Q34" s="50">
        <f t="shared" si="27"/>
        <v>0</v>
      </c>
      <c r="R34" s="102"/>
      <c r="S34" s="102"/>
      <c r="T34" s="102"/>
      <c r="U34" s="158" t="s">
        <v>108</v>
      </c>
      <c r="V34" s="50">
        <v>150</v>
      </c>
      <c r="W34" s="50">
        <v>150</v>
      </c>
      <c r="X34" s="39">
        <v>150</v>
      </c>
      <c r="Y34" s="155">
        <f t="shared" si="11"/>
        <v>1</v>
      </c>
      <c r="Z34" s="50">
        <v>150</v>
      </c>
      <c r="AA34" s="50"/>
      <c r="AB34" s="50">
        <v>150</v>
      </c>
      <c r="AC34" s="155">
        <f t="shared" si="23"/>
        <v>0</v>
      </c>
      <c r="AD34" s="82">
        <f>表三!C18</f>
        <v>150</v>
      </c>
      <c r="AE34" s="82">
        <f>表三!D18</f>
        <v>0</v>
      </c>
      <c r="AF34" s="82">
        <f t="shared" si="13"/>
        <v>150</v>
      </c>
      <c r="AG34" s="82"/>
      <c r="AH34" s="82">
        <f t="shared" si="14"/>
        <v>150</v>
      </c>
    </row>
    <row r="35" ht="20" customHeight="1" spans="1:34">
      <c r="A35" s="111" t="s">
        <v>109</v>
      </c>
      <c r="B35" s="39">
        <v>2467</v>
      </c>
      <c r="C35" s="39">
        <v>2467</v>
      </c>
      <c r="D35" s="39">
        <f>SUM(D36:D38)</f>
        <v>2467</v>
      </c>
      <c r="E35" s="148">
        <f t="shared" si="9"/>
        <v>1</v>
      </c>
      <c r="F35" s="39">
        <f>SUM(F36:F38)</f>
        <v>2467</v>
      </c>
      <c r="G35" s="39">
        <f>SUM(G36:G38)</f>
        <v>2467</v>
      </c>
      <c r="H35" s="39">
        <f>SUM(H36:H38)</f>
        <v>0</v>
      </c>
      <c r="I35" s="39">
        <f>SUM(I36:I38)</f>
        <v>2467</v>
      </c>
      <c r="J35" s="158" t="s">
        <v>108</v>
      </c>
      <c r="K35" s="50">
        <v>150</v>
      </c>
      <c r="L35" s="50">
        <v>150</v>
      </c>
      <c r="M35" s="39">
        <v>150</v>
      </c>
      <c r="N35" s="155">
        <f t="shared" si="15"/>
        <v>1</v>
      </c>
      <c r="O35" s="50">
        <f t="shared" si="16"/>
        <v>0</v>
      </c>
      <c r="P35" s="50"/>
      <c r="Q35" s="50">
        <f t="shared" si="27"/>
        <v>0</v>
      </c>
      <c r="R35" s="102"/>
      <c r="S35" s="102"/>
      <c r="T35" s="102"/>
      <c r="U35" s="154" t="s">
        <v>110</v>
      </c>
      <c r="V35" s="50">
        <v>900</v>
      </c>
      <c r="W35" s="50">
        <v>853</v>
      </c>
      <c r="X35" s="39">
        <v>853</v>
      </c>
      <c r="Y35" s="155">
        <f t="shared" si="11"/>
        <v>1</v>
      </c>
      <c r="Z35" s="50">
        <v>853</v>
      </c>
      <c r="AA35" s="50">
        <v>853</v>
      </c>
      <c r="AB35" s="50">
        <v>0</v>
      </c>
      <c r="AC35" s="155">
        <f t="shared" si="23"/>
        <v>0</v>
      </c>
      <c r="AD35" s="82">
        <v>853</v>
      </c>
      <c r="AE35" s="82">
        <f>表三!D19</f>
        <v>0</v>
      </c>
      <c r="AF35" s="82">
        <f t="shared" si="13"/>
        <v>853</v>
      </c>
      <c r="AG35" s="82">
        <v>853</v>
      </c>
      <c r="AH35" s="82">
        <f t="shared" si="14"/>
        <v>0</v>
      </c>
    </row>
    <row r="36" ht="20" customHeight="1" spans="1:34">
      <c r="A36" s="127" t="s">
        <v>111</v>
      </c>
      <c r="B36" s="50">
        <v>527</v>
      </c>
      <c r="C36" s="50">
        <v>527</v>
      </c>
      <c r="D36" s="39">
        <v>527</v>
      </c>
      <c r="E36" s="148">
        <f t="shared" si="9"/>
        <v>1</v>
      </c>
      <c r="F36" s="39">
        <v>527</v>
      </c>
      <c r="G36" s="39">
        <v>527</v>
      </c>
      <c r="H36" s="39"/>
      <c r="I36" s="39">
        <v>527</v>
      </c>
      <c r="J36" s="154" t="s">
        <v>110</v>
      </c>
      <c r="K36" s="50">
        <v>900</v>
      </c>
      <c r="L36" s="50">
        <v>853</v>
      </c>
      <c r="M36" s="39">
        <v>853</v>
      </c>
      <c r="N36" s="155">
        <f t="shared" si="15"/>
        <v>1</v>
      </c>
      <c r="O36" s="50">
        <f t="shared" si="16"/>
        <v>853</v>
      </c>
      <c r="P36" s="50">
        <v>853</v>
      </c>
      <c r="Q36" s="50">
        <f t="shared" si="27"/>
        <v>0</v>
      </c>
      <c r="R36" s="102"/>
      <c r="S36" s="102"/>
      <c r="T36" s="102"/>
      <c r="U36" s="154" t="s">
        <v>112</v>
      </c>
      <c r="V36" s="50">
        <v>3032</v>
      </c>
      <c r="W36" s="50">
        <v>3046</v>
      </c>
      <c r="X36" s="39">
        <v>3046</v>
      </c>
      <c r="Y36" s="155">
        <f t="shared" si="11"/>
        <v>1</v>
      </c>
      <c r="Z36" s="50">
        <v>3305</v>
      </c>
      <c r="AA36" s="50">
        <v>3305</v>
      </c>
      <c r="AB36" s="50">
        <v>0</v>
      </c>
      <c r="AC36" s="155">
        <f t="shared" si="23"/>
        <v>0.0850295469468155</v>
      </c>
      <c r="AD36" s="82">
        <v>2883</v>
      </c>
      <c r="AE36" s="82"/>
      <c r="AF36" s="82">
        <f t="shared" si="13"/>
        <v>3305</v>
      </c>
      <c r="AG36" s="82">
        <v>3305</v>
      </c>
      <c r="AH36" s="82">
        <f t="shared" si="14"/>
        <v>0</v>
      </c>
    </row>
    <row r="37" ht="20" customHeight="1" spans="1:34">
      <c r="A37" s="127" t="s">
        <v>113</v>
      </c>
      <c r="B37" s="50">
        <v>196</v>
      </c>
      <c r="C37" s="50">
        <v>196</v>
      </c>
      <c r="D37" s="39">
        <v>196</v>
      </c>
      <c r="E37" s="148">
        <f t="shared" si="9"/>
        <v>1</v>
      </c>
      <c r="F37" s="39">
        <v>196</v>
      </c>
      <c r="G37" s="39">
        <v>196</v>
      </c>
      <c r="H37" s="39"/>
      <c r="I37" s="39">
        <v>196</v>
      </c>
      <c r="J37" s="154" t="s">
        <v>112</v>
      </c>
      <c r="K37" s="50">
        <v>3032</v>
      </c>
      <c r="L37" s="50">
        <v>3046</v>
      </c>
      <c r="M37" s="39">
        <v>3046</v>
      </c>
      <c r="N37" s="155">
        <f t="shared" si="15"/>
        <v>1</v>
      </c>
      <c r="O37" s="50">
        <f t="shared" si="16"/>
        <v>3305</v>
      </c>
      <c r="P37" s="50">
        <f>3005+300</f>
        <v>3305</v>
      </c>
      <c r="Q37" s="50">
        <f t="shared" si="27"/>
        <v>0</v>
      </c>
      <c r="R37" s="102"/>
      <c r="S37" s="102"/>
      <c r="T37" s="102"/>
      <c r="U37" s="154" t="s">
        <v>114</v>
      </c>
      <c r="V37" s="50">
        <f t="shared" ref="V37:X37" si="28">SUM(V38:V46)</f>
        <v>54080</v>
      </c>
      <c r="W37" s="50">
        <f t="shared" si="28"/>
        <v>107710</v>
      </c>
      <c r="X37" s="50">
        <f t="shared" si="28"/>
        <v>107653</v>
      </c>
      <c r="Y37" s="155">
        <f t="shared" si="11"/>
        <v>0.999470801225513</v>
      </c>
      <c r="Z37" s="50">
        <v>150606</v>
      </c>
      <c r="AA37" s="50">
        <v>0</v>
      </c>
      <c r="AB37" s="50">
        <v>150606</v>
      </c>
      <c r="AC37" s="155">
        <f t="shared" si="23"/>
        <v>0.398994918859669</v>
      </c>
      <c r="AD37" s="82">
        <f>SUM(AD38:AD46)</f>
        <v>147314</v>
      </c>
      <c r="AE37" s="82">
        <f>SUM(AE38:AE46)</f>
        <v>2718</v>
      </c>
      <c r="AF37" s="82">
        <f t="shared" si="13"/>
        <v>153324</v>
      </c>
      <c r="AG37" s="82">
        <v>0</v>
      </c>
      <c r="AH37" s="82">
        <f t="shared" si="14"/>
        <v>153324</v>
      </c>
    </row>
    <row r="38" ht="20" customHeight="1" spans="1:34">
      <c r="A38" s="127" t="s">
        <v>115</v>
      </c>
      <c r="B38" s="50">
        <v>1744</v>
      </c>
      <c r="C38" s="50">
        <v>1744</v>
      </c>
      <c r="D38" s="39">
        <v>1744</v>
      </c>
      <c r="E38" s="148">
        <f t="shared" si="9"/>
        <v>1</v>
      </c>
      <c r="F38" s="39">
        <v>1744</v>
      </c>
      <c r="G38" s="39">
        <v>1744</v>
      </c>
      <c r="H38" s="39"/>
      <c r="I38" s="39">
        <v>1744</v>
      </c>
      <c r="J38" s="154" t="s">
        <v>114</v>
      </c>
      <c r="K38" s="50">
        <f>SUM(K39:K49)</f>
        <v>54080</v>
      </c>
      <c r="L38" s="50">
        <f>SUM(L39:L49)</f>
        <v>107710</v>
      </c>
      <c r="M38" s="50">
        <f>SUM(M39:M49)</f>
        <v>107653</v>
      </c>
      <c r="N38" s="155">
        <f t="shared" si="15"/>
        <v>0.999470801225513</v>
      </c>
      <c r="O38" s="50">
        <f t="shared" si="16"/>
        <v>0</v>
      </c>
      <c r="P38" s="50">
        <f>SUM(P39:P49)</f>
        <v>0</v>
      </c>
      <c r="Q38" s="50">
        <f>SUM(Q39:Q49)</f>
        <v>0</v>
      </c>
      <c r="R38" s="102"/>
      <c r="S38" s="102"/>
      <c r="T38" s="102"/>
      <c r="U38" s="154" t="s">
        <v>116</v>
      </c>
      <c r="V38" s="50">
        <v>36212</v>
      </c>
      <c r="W38" s="50">
        <v>88988</v>
      </c>
      <c r="X38" s="39">
        <v>89008</v>
      </c>
      <c r="Y38" s="155">
        <f t="shared" si="11"/>
        <v>1.00022474940441</v>
      </c>
      <c r="Z38" s="50">
        <v>131530</v>
      </c>
      <c r="AA38" s="50"/>
      <c r="AB38" s="50">
        <v>131530</v>
      </c>
      <c r="AC38" s="155">
        <f t="shared" si="23"/>
        <v>0.477732338666187</v>
      </c>
      <c r="AD38" s="82">
        <f>表四!C6</f>
        <v>131530</v>
      </c>
      <c r="AE38" s="82">
        <f>表四!D6</f>
        <v>0</v>
      </c>
      <c r="AF38" s="82">
        <f t="shared" ref="AF38:AF69" si="29">SUM(AG38:AH38)</f>
        <v>131530</v>
      </c>
      <c r="AG38" s="82"/>
      <c r="AH38" s="82">
        <f t="shared" ref="AH38:AH69" si="30">AB38+AE38</f>
        <v>131530</v>
      </c>
    </row>
    <row r="39" ht="20" customHeight="1" spans="1:34">
      <c r="A39" s="127" t="s">
        <v>117</v>
      </c>
      <c r="B39" s="108">
        <f>SUM(B40:B60)</f>
        <v>101136</v>
      </c>
      <c r="C39" s="108">
        <v>114011</v>
      </c>
      <c r="D39" s="39">
        <f>SUM(D40:D60)</f>
        <v>114711</v>
      </c>
      <c r="E39" s="148">
        <f t="shared" si="9"/>
        <v>1.00613975844436</v>
      </c>
      <c r="F39" s="39">
        <f>SUM(F40:F60)</f>
        <v>118090</v>
      </c>
      <c r="G39" s="39">
        <f>SUM(G40:G60)</f>
        <v>127748</v>
      </c>
      <c r="H39" s="39">
        <f>SUM(H40:H60)</f>
        <v>11158</v>
      </c>
      <c r="I39" s="39">
        <f>SUM(I40:I60)</f>
        <v>129248</v>
      </c>
      <c r="J39" s="154" t="s">
        <v>116</v>
      </c>
      <c r="K39" s="50">
        <v>36212</v>
      </c>
      <c r="L39" s="50">
        <v>88988</v>
      </c>
      <c r="M39" s="39">
        <v>89008</v>
      </c>
      <c r="N39" s="155">
        <f t="shared" si="15"/>
        <v>1.00022474940441</v>
      </c>
      <c r="O39" s="50">
        <f t="shared" si="16"/>
        <v>0</v>
      </c>
      <c r="P39" s="50"/>
      <c r="Q39" s="50">
        <f>R39</f>
        <v>0</v>
      </c>
      <c r="R39" s="102"/>
      <c r="S39" s="102"/>
      <c r="T39" s="102"/>
      <c r="U39" s="154" t="s">
        <v>118</v>
      </c>
      <c r="V39" s="50">
        <v>702</v>
      </c>
      <c r="W39" s="50">
        <v>702</v>
      </c>
      <c r="X39" s="39">
        <v>702</v>
      </c>
      <c r="Y39" s="155">
        <f t="shared" si="11"/>
        <v>1</v>
      </c>
      <c r="Z39" s="50">
        <v>556</v>
      </c>
      <c r="AA39" s="50"/>
      <c r="AB39" s="50">
        <v>556</v>
      </c>
      <c r="AC39" s="155">
        <f t="shared" si="23"/>
        <v>-0.207977207977208</v>
      </c>
      <c r="AD39" s="82">
        <f>表四!C12</f>
        <v>624</v>
      </c>
      <c r="AE39" s="82">
        <f>表四!D12</f>
        <v>100</v>
      </c>
      <c r="AF39" s="82">
        <f t="shared" si="29"/>
        <v>656</v>
      </c>
      <c r="AG39" s="82"/>
      <c r="AH39" s="82">
        <f t="shared" si="30"/>
        <v>656</v>
      </c>
    </row>
    <row r="40" ht="20" customHeight="1" spans="1:34">
      <c r="A40" s="150" t="s">
        <v>119</v>
      </c>
      <c r="B40" s="50">
        <v>60771</v>
      </c>
      <c r="C40" s="50">
        <v>67603</v>
      </c>
      <c r="D40" s="39">
        <v>67603</v>
      </c>
      <c r="E40" s="148">
        <f t="shared" si="9"/>
        <v>1</v>
      </c>
      <c r="F40" s="39">
        <v>67603</v>
      </c>
      <c r="G40" s="39">
        <v>75332</v>
      </c>
      <c r="H40" s="39">
        <v>7729</v>
      </c>
      <c r="I40" s="39">
        <f>F40+H40</f>
        <v>75332</v>
      </c>
      <c r="J40" s="154" t="s">
        <v>118</v>
      </c>
      <c r="K40" s="50">
        <v>702</v>
      </c>
      <c r="L40" s="50">
        <v>702</v>
      </c>
      <c r="M40" s="39">
        <v>702</v>
      </c>
      <c r="N40" s="155">
        <f t="shared" si="15"/>
        <v>1</v>
      </c>
      <c r="O40" s="50">
        <f t="shared" si="16"/>
        <v>0</v>
      </c>
      <c r="P40" s="50"/>
      <c r="Q40" s="50">
        <f>R40</f>
        <v>0</v>
      </c>
      <c r="R40" s="102"/>
      <c r="S40" s="102"/>
      <c r="T40" s="102"/>
      <c r="U40" s="154" t="s">
        <v>120</v>
      </c>
      <c r="V40" s="50">
        <v>6357</v>
      </c>
      <c r="W40" s="50">
        <v>5589</v>
      </c>
      <c r="X40" s="39">
        <v>5566</v>
      </c>
      <c r="Y40" s="155">
        <f t="shared" si="11"/>
        <v>0.995884773662551</v>
      </c>
      <c r="Z40" s="50">
        <v>6547</v>
      </c>
      <c r="AA40" s="50"/>
      <c r="AB40" s="50">
        <v>6547</v>
      </c>
      <c r="AC40" s="155">
        <f t="shared" si="23"/>
        <v>0.176248652533238</v>
      </c>
      <c r="AD40" s="82">
        <f>表四!C16</f>
        <v>7308</v>
      </c>
      <c r="AE40" s="82">
        <f>表四!D16</f>
        <v>868</v>
      </c>
      <c r="AF40" s="82">
        <f t="shared" si="29"/>
        <v>7415</v>
      </c>
      <c r="AG40" s="82"/>
      <c r="AH40" s="82">
        <f t="shared" si="30"/>
        <v>7415</v>
      </c>
    </row>
    <row r="41" ht="20" customHeight="1" spans="1:34">
      <c r="A41" s="150" t="s">
        <v>121</v>
      </c>
      <c r="B41" s="50"/>
      <c r="C41" s="50">
        <v>7097</v>
      </c>
      <c r="D41" s="39">
        <v>7097</v>
      </c>
      <c r="E41" s="148">
        <f t="shared" si="9"/>
        <v>1</v>
      </c>
      <c r="F41" s="39">
        <v>7097</v>
      </c>
      <c r="G41" s="39">
        <v>3014</v>
      </c>
      <c r="H41" s="39">
        <v>-4083</v>
      </c>
      <c r="I41" s="39">
        <f>F41+H41</f>
        <v>3014</v>
      </c>
      <c r="J41" s="154" t="s">
        <v>120</v>
      </c>
      <c r="K41" s="50">
        <v>6357</v>
      </c>
      <c r="L41" s="50">
        <v>5589</v>
      </c>
      <c r="M41" s="39">
        <v>5566</v>
      </c>
      <c r="N41" s="155">
        <f t="shared" si="15"/>
        <v>0.995884773662551</v>
      </c>
      <c r="O41" s="50">
        <f t="shared" si="16"/>
        <v>0</v>
      </c>
      <c r="P41" s="50"/>
      <c r="Q41" s="50">
        <f>R41</f>
        <v>0</v>
      </c>
      <c r="R41" s="102"/>
      <c r="S41" s="102"/>
      <c r="T41" s="102"/>
      <c r="U41" s="154" t="s">
        <v>122</v>
      </c>
      <c r="V41" s="50">
        <v>6940</v>
      </c>
      <c r="W41" s="50">
        <v>6940</v>
      </c>
      <c r="X41" s="39">
        <v>6932</v>
      </c>
      <c r="Y41" s="155">
        <f t="shared" si="11"/>
        <v>0.998847262247839</v>
      </c>
      <c r="Z41" s="50">
        <v>5780</v>
      </c>
      <c r="AA41" s="50"/>
      <c r="AB41" s="50">
        <v>5780</v>
      </c>
      <c r="AC41" s="155">
        <f t="shared" si="23"/>
        <v>-0.166185804962493</v>
      </c>
      <c r="AD41" s="82">
        <f>表四!C33</f>
        <v>3126</v>
      </c>
      <c r="AE41" s="82">
        <f>表四!D33</f>
        <v>1637</v>
      </c>
      <c r="AF41" s="82">
        <f t="shared" si="29"/>
        <v>7417</v>
      </c>
      <c r="AG41" s="82"/>
      <c r="AH41" s="82">
        <f t="shared" si="30"/>
        <v>7417</v>
      </c>
    </row>
    <row r="42" ht="20" customHeight="1" spans="1:34">
      <c r="A42" s="150" t="s">
        <v>123</v>
      </c>
      <c r="B42" s="50"/>
      <c r="C42" s="50"/>
      <c r="D42" s="39"/>
      <c r="E42" s="148"/>
      <c r="F42" s="39"/>
      <c r="G42" s="39">
        <v>8226</v>
      </c>
      <c r="H42" s="39">
        <v>8226</v>
      </c>
      <c r="I42" s="39">
        <f>F42+H42</f>
        <v>8226</v>
      </c>
      <c r="J42" s="154" t="s">
        <v>122</v>
      </c>
      <c r="K42" s="50">
        <v>6940</v>
      </c>
      <c r="L42" s="50">
        <v>6940</v>
      </c>
      <c r="M42" s="39">
        <v>6932</v>
      </c>
      <c r="N42" s="155">
        <f t="shared" si="15"/>
        <v>0.998847262247839</v>
      </c>
      <c r="O42" s="50">
        <f t="shared" si="16"/>
        <v>0</v>
      </c>
      <c r="P42" s="50"/>
      <c r="Q42" s="50">
        <f>R42</f>
        <v>0</v>
      </c>
      <c r="R42" s="102"/>
      <c r="S42" s="102"/>
      <c r="T42" s="102"/>
      <c r="U42" s="154" t="s">
        <v>124</v>
      </c>
      <c r="V42" s="50">
        <v>892</v>
      </c>
      <c r="W42" s="50">
        <v>1219</v>
      </c>
      <c r="X42" s="39">
        <v>1201</v>
      </c>
      <c r="Y42" s="155">
        <f t="shared" si="11"/>
        <v>0.985233798195242</v>
      </c>
      <c r="Z42" s="50">
        <v>1765</v>
      </c>
      <c r="AA42" s="50"/>
      <c r="AB42" s="50">
        <v>1765</v>
      </c>
      <c r="AC42" s="155">
        <f t="shared" si="23"/>
        <v>0.469608659450458</v>
      </c>
      <c r="AD42" s="82">
        <f>表四!C48</f>
        <v>880</v>
      </c>
      <c r="AE42" s="82">
        <f>表四!D48</f>
        <v>-527</v>
      </c>
      <c r="AF42" s="82">
        <f t="shared" si="29"/>
        <v>1238</v>
      </c>
      <c r="AG42" s="82"/>
      <c r="AH42" s="82">
        <f t="shared" si="30"/>
        <v>1238</v>
      </c>
    </row>
    <row r="43" ht="20" customHeight="1" spans="1:34">
      <c r="A43" s="150" t="s">
        <v>125</v>
      </c>
      <c r="B43" s="50">
        <v>7986</v>
      </c>
      <c r="C43" s="50">
        <v>9972</v>
      </c>
      <c r="D43" s="39">
        <v>9972</v>
      </c>
      <c r="E43" s="148">
        <f>D43/C43</f>
        <v>1</v>
      </c>
      <c r="F43" s="39">
        <v>9972</v>
      </c>
      <c r="G43" s="39">
        <v>11696</v>
      </c>
      <c r="H43" s="39">
        <f>331+1393</f>
        <v>1724</v>
      </c>
      <c r="I43" s="39">
        <f>F43+H43</f>
        <v>11696</v>
      </c>
      <c r="J43" s="154"/>
      <c r="K43" s="50"/>
      <c r="L43" s="50"/>
      <c r="M43" s="39"/>
      <c r="N43" s="155"/>
      <c r="O43" s="50"/>
      <c r="P43" s="50"/>
      <c r="Q43" s="50"/>
      <c r="R43" s="102"/>
      <c r="S43" s="102"/>
      <c r="T43" s="102"/>
      <c r="U43" s="154" t="s">
        <v>126</v>
      </c>
      <c r="V43" s="50">
        <v>480</v>
      </c>
      <c r="W43" s="50">
        <v>632</v>
      </c>
      <c r="X43" s="39">
        <v>628</v>
      </c>
      <c r="Y43" s="155">
        <f t="shared" si="11"/>
        <v>0.993670886075949</v>
      </c>
      <c r="Z43" s="50">
        <v>480</v>
      </c>
      <c r="AA43" s="50"/>
      <c r="AB43" s="50">
        <v>480</v>
      </c>
      <c r="AC43" s="155">
        <f t="shared" si="23"/>
        <v>-0.235668789808917</v>
      </c>
      <c r="AD43" s="82">
        <f>表四!C68</f>
        <v>226</v>
      </c>
      <c r="AE43" s="82">
        <f>表四!D68</f>
        <v>0</v>
      </c>
      <c r="AF43" s="82">
        <f t="shared" si="29"/>
        <v>480</v>
      </c>
      <c r="AG43" s="82"/>
      <c r="AH43" s="82">
        <f t="shared" si="30"/>
        <v>480</v>
      </c>
    </row>
    <row r="44" ht="20" customHeight="1" spans="1:34">
      <c r="A44" s="150" t="s">
        <v>127</v>
      </c>
      <c r="B44" s="50">
        <v>7905</v>
      </c>
      <c r="C44" s="50">
        <v>8944</v>
      </c>
      <c r="D44" s="39">
        <v>8944</v>
      </c>
      <c r="E44" s="148">
        <f>D44/C44</f>
        <v>1</v>
      </c>
      <c r="F44" s="39">
        <v>8944</v>
      </c>
      <c r="G44" s="39">
        <v>9444</v>
      </c>
      <c r="H44" s="39">
        <v>500</v>
      </c>
      <c r="I44" s="39">
        <f>F44+H44</f>
        <v>9444</v>
      </c>
      <c r="J44" s="154" t="s">
        <v>124</v>
      </c>
      <c r="K44" s="50">
        <v>892</v>
      </c>
      <c r="L44" s="50">
        <v>1219</v>
      </c>
      <c r="M44" s="39">
        <v>1201</v>
      </c>
      <c r="N44" s="155">
        <f>M44/L44</f>
        <v>0.985233798195242</v>
      </c>
      <c r="O44" s="50">
        <f>P44+Q44</f>
        <v>0</v>
      </c>
      <c r="P44" s="50"/>
      <c r="Q44" s="50">
        <f>R44</f>
        <v>0</v>
      </c>
      <c r="R44" s="102"/>
      <c r="S44" s="102"/>
      <c r="T44" s="102"/>
      <c r="U44" s="154" t="s">
        <v>128</v>
      </c>
      <c r="V44" s="50">
        <v>1600</v>
      </c>
      <c r="W44" s="50">
        <v>2450</v>
      </c>
      <c r="X44" s="39">
        <v>2451</v>
      </c>
      <c r="Y44" s="155">
        <f t="shared" si="11"/>
        <v>1.00040816326531</v>
      </c>
      <c r="Z44" s="50">
        <v>1650</v>
      </c>
      <c r="AA44" s="50"/>
      <c r="AB44" s="50">
        <v>1650</v>
      </c>
      <c r="AC44" s="155">
        <f t="shared" si="23"/>
        <v>-0.326805385556916</v>
      </c>
      <c r="AD44" s="82">
        <f>表四!C72</f>
        <v>1444</v>
      </c>
      <c r="AE44" s="82">
        <f>表四!D72</f>
        <v>100</v>
      </c>
      <c r="AF44" s="82">
        <f t="shared" si="29"/>
        <v>1750</v>
      </c>
      <c r="AG44" s="82"/>
      <c r="AH44" s="82">
        <f t="shared" si="30"/>
        <v>1750</v>
      </c>
    </row>
    <row r="45" ht="20" customHeight="1" spans="1:34">
      <c r="A45" s="150" t="s">
        <v>129</v>
      </c>
      <c r="B45" s="50"/>
      <c r="C45" s="50">
        <v>2985</v>
      </c>
      <c r="D45" s="39">
        <v>2985</v>
      </c>
      <c r="E45" s="148">
        <f>D45/C45</f>
        <v>1</v>
      </c>
      <c r="F45" s="39"/>
      <c r="G45" s="39"/>
      <c r="H45" s="39">
        <v>1500</v>
      </c>
      <c r="I45" s="39">
        <v>1500</v>
      </c>
      <c r="J45" s="154" t="s">
        <v>126</v>
      </c>
      <c r="K45" s="50">
        <v>480</v>
      </c>
      <c r="L45" s="50">
        <v>632</v>
      </c>
      <c r="M45" s="39">
        <v>628</v>
      </c>
      <c r="N45" s="155">
        <f>M45/L45</f>
        <v>0.993670886075949</v>
      </c>
      <c r="O45" s="50">
        <f>P45+Q45</f>
        <v>0</v>
      </c>
      <c r="P45" s="50"/>
      <c r="Q45" s="50">
        <f>R45</f>
        <v>0</v>
      </c>
      <c r="R45" s="102"/>
      <c r="S45" s="102"/>
      <c r="T45" s="102"/>
      <c r="U45" s="154" t="s">
        <v>130</v>
      </c>
      <c r="V45" s="50">
        <v>100</v>
      </c>
      <c r="W45" s="50">
        <v>0</v>
      </c>
      <c r="X45" s="39">
        <v>0</v>
      </c>
      <c r="Y45" s="155"/>
      <c r="Z45" s="50">
        <v>300</v>
      </c>
      <c r="AA45" s="50"/>
      <c r="AB45" s="50">
        <v>300</v>
      </c>
      <c r="AC45" s="155"/>
      <c r="AD45" s="82">
        <f>表四!C75</f>
        <v>269</v>
      </c>
      <c r="AE45" s="82">
        <f>表四!D75</f>
        <v>0</v>
      </c>
      <c r="AF45" s="82">
        <f t="shared" si="29"/>
        <v>300</v>
      </c>
      <c r="AG45" s="82"/>
      <c r="AH45" s="82">
        <f t="shared" si="30"/>
        <v>300</v>
      </c>
    </row>
    <row r="46" ht="20" customHeight="1" spans="1:34">
      <c r="A46" s="52" t="s">
        <v>131</v>
      </c>
      <c r="B46" s="50">
        <v>576</v>
      </c>
      <c r="C46" s="50">
        <v>576</v>
      </c>
      <c r="D46" s="39">
        <v>576</v>
      </c>
      <c r="E46" s="148">
        <f t="shared" ref="E46:E70" si="31">D46/C46</f>
        <v>1</v>
      </c>
      <c r="F46" s="39">
        <v>576</v>
      </c>
      <c r="G46" s="39">
        <v>576</v>
      </c>
      <c r="H46" s="39"/>
      <c r="I46" s="39">
        <f t="shared" ref="I46:I60" si="32">F46+H46</f>
        <v>576</v>
      </c>
      <c r="J46" s="154" t="s">
        <v>128</v>
      </c>
      <c r="K46" s="50">
        <v>1600</v>
      </c>
      <c r="L46" s="50">
        <v>2450</v>
      </c>
      <c r="M46" s="39">
        <v>2451</v>
      </c>
      <c r="N46" s="155">
        <f>M46/L46</f>
        <v>1.00040816326531</v>
      </c>
      <c r="O46" s="50">
        <f>P46+Q46</f>
        <v>0</v>
      </c>
      <c r="P46" s="50"/>
      <c r="Q46" s="50">
        <f>R46</f>
        <v>0</v>
      </c>
      <c r="R46" s="102"/>
      <c r="S46" s="102"/>
      <c r="T46" s="102"/>
      <c r="U46" s="154" t="s">
        <v>132</v>
      </c>
      <c r="V46" s="50">
        <v>797</v>
      </c>
      <c r="W46" s="50">
        <v>1190</v>
      </c>
      <c r="X46" s="39">
        <v>1165</v>
      </c>
      <c r="Y46" s="155">
        <f t="shared" ref="Y46:Y62" si="33">X46/W46</f>
        <v>0.978991596638655</v>
      </c>
      <c r="Z46" s="50">
        <v>1998</v>
      </c>
      <c r="AA46" s="50"/>
      <c r="AB46" s="50">
        <v>1998</v>
      </c>
      <c r="AC46" s="155">
        <f t="shared" ref="AC46:AC60" si="34">(Z46-X46)/X46</f>
        <v>0.715021459227468</v>
      </c>
      <c r="AD46" s="82">
        <f>表四!C77</f>
        <v>1907</v>
      </c>
      <c r="AE46" s="82">
        <f>表四!D77</f>
        <v>540</v>
      </c>
      <c r="AF46" s="82">
        <f t="shared" si="29"/>
        <v>2538</v>
      </c>
      <c r="AG46" s="82"/>
      <c r="AH46" s="82">
        <f t="shared" si="30"/>
        <v>2538</v>
      </c>
    </row>
    <row r="47" ht="20" customHeight="1" spans="1:34">
      <c r="A47" s="149" t="s">
        <v>133</v>
      </c>
      <c r="B47" s="50">
        <v>6375</v>
      </c>
      <c r="C47" s="50">
        <v>6375</v>
      </c>
      <c r="D47" s="39">
        <v>6375</v>
      </c>
      <c r="E47" s="148">
        <f t="shared" si="31"/>
        <v>1</v>
      </c>
      <c r="F47" s="39">
        <v>6375</v>
      </c>
      <c r="G47" s="39">
        <v>6375</v>
      </c>
      <c r="H47" s="39"/>
      <c r="I47" s="39">
        <f t="shared" si="32"/>
        <v>6375</v>
      </c>
      <c r="J47" s="154"/>
      <c r="K47" s="50"/>
      <c r="L47" s="50"/>
      <c r="M47" s="39"/>
      <c r="N47" s="155"/>
      <c r="O47" s="50"/>
      <c r="P47" s="50"/>
      <c r="Q47" s="50"/>
      <c r="R47" s="102"/>
      <c r="S47" s="102"/>
      <c r="T47" s="102"/>
      <c r="U47" s="154" t="s">
        <v>134</v>
      </c>
      <c r="V47" s="50">
        <f t="shared" ref="V47:X47" si="35">SUM(V48:V49)</f>
        <v>700</v>
      </c>
      <c r="W47" s="50">
        <f t="shared" si="35"/>
        <v>800</v>
      </c>
      <c r="X47" s="50">
        <f t="shared" si="35"/>
        <v>800</v>
      </c>
      <c r="Y47" s="155">
        <f t="shared" si="33"/>
        <v>1</v>
      </c>
      <c r="Z47" s="50">
        <v>700</v>
      </c>
      <c r="AA47" s="50">
        <v>0</v>
      </c>
      <c r="AB47" s="50">
        <v>700</v>
      </c>
      <c r="AC47" s="155">
        <f t="shared" si="34"/>
        <v>-0.125</v>
      </c>
      <c r="AD47" s="82">
        <f>SUM(AD48:AD49)</f>
        <v>1100</v>
      </c>
      <c r="AE47" s="82">
        <f>SUM(AE48:AE49)</f>
        <v>400</v>
      </c>
      <c r="AF47" s="82">
        <f>SUM(AF48:AF49)</f>
        <v>1100</v>
      </c>
      <c r="AG47" s="82">
        <v>0</v>
      </c>
      <c r="AH47" s="82">
        <f t="shared" si="30"/>
        <v>1100</v>
      </c>
    </row>
    <row r="48" ht="20" customHeight="1" spans="1:34">
      <c r="A48" s="149" t="s">
        <v>135</v>
      </c>
      <c r="B48" s="50">
        <v>2496</v>
      </c>
      <c r="C48" s="50">
        <v>2496</v>
      </c>
      <c r="D48" s="39">
        <v>2496</v>
      </c>
      <c r="E48" s="148">
        <f t="shared" si="31"/>
        <v>1</v>
      </c>
      <c r="F48" s="39">
        <v>2496</v>
      </c>
      <c r="G48" s="39">
        <v>2496</v>
      </c>
      <c r="H48" s="39"/>
      <c r="I48" s="39">
        <f t="shared" si="32"/>
        <v>2496</v>
      </c>
      <c r="J48" s="154" t="s">
        <v>130</v>
      </c>
      <c r="K48" s="50">
        <v>100</v>
      </c>
      <c r="L48" s="50">
        <v>0</v>
      </c>
      <c r="M48" s="39">
        <v>0</v>
      </c>
      <c r="N48" s="155"/>
      <c r="O48" s="50">
        <f t="shared" ref="O48:O72" si="36">P48+Q48</f>
        <v>0</v>
      </c>
      <c r="P48" s="50"/>
      <c r="Q48" s="50">
        <f>R48</f>
        <v>0</v>
      </c>
      <c r="R48" s="102"/>
      <c r="S48" s="102"/>
      <c r="T48" s="102"/>
      <c r="U48" s="159" t="s">
        <v>136</v>
      </c>
      <c r="V48" s="50">
        <v>200</v>
      </c>
      <c r="W48" s="50">
        <v>200</v>
      </c>
      <c r="X48" s="39">
        <v>200</v>
      </c>
      <c r="Y48" s="155">
        <f t="shared" si="33"/>
        <v>1</v>
      </c>
      <c r="Z48" s="50">
        <v>200</v>
      </c>
      <c r="AA48" s="50"/>
      <c r="AB48" s="50">
        <v>200</v>
      </c>
      <c r="AC48" s="155">
        <f t="shared" si="34"/>
        <v>0</v>
      </c>
      <c r="AD48" s="82">
        <f>表三!C21</f>
        <v>200</v>
      </c>
      <c r="AE48" s="82">
        <f>表三!D21</f>
        <v>0</v>
      </c>
      <c r="AF48" s="82">
        <v>200</v>
      </c>
      <c r="AG48" s="82"/>
      <c r="AH48" s="82">
        <f t="shared" si="30"/>
        <v>200</v>
      </c>
    </row>
    <row r="49" ht="20" customHeight="1" spans="1:34">
      <c r="A49" s="150" t="s">
        <v>137</v>
      </c>
      <c r="B49" s="50">
        <v>1656</v>
      </c>
      <c r="C49" s="50">
        <v>1656</v>
      </c>
      <c r="D49" s="39">
        <v>1656</v>
      </c>
      <c r="E49" s="148">
        <f t="shared" si="31"/>
        <v>1</v>
      </c>
      <c r="F49" s="39">
        <v>1656</v>
      </c>
      <c r="G49" s="39">
        <v>1656</v>
      </c>
      <c r="H49" s="39"/>
      <c r="I49" s="39">
        <f t="shared" si="32"/>
        <v>1656</v>
      </c>
      <c r="J49" s="154" t="s">
        <v>132</v>
      </c>
      <c r="K49" s="50">
        <v>797</v>
      </c>
      <c r="L49" s="50">
        <v>1190</v>
      </c>
      <c r="M49" s="39">
        <v>1165</v>
      </c>
      <c r="N49" s="155">
        <f t="shared" ref="N49:N65" si="37">M49/L49</f>
        <v>0.978991596638655</v>
      </c>
      <c r="O49" s="50">
        <f t="shared" si="36"/>
        <v>0</v>
      </c>
      <c r="P49" s="50"/>
      <c r="Q49" s="50">
        <f>R49</f>
        <v>0</v>
      </c>
      <c r="R49" s="102"/>
      <c r="S49" s="102"/>
      <c r="T49" s="102"/>
      <c r="U49" s="159" t="s">
        <v>138</v>
      </c>
      <c r="V49" s="50">
        <v>500</v>
      </c>
      <c r="W49" s="50">
        <v>600</v>
      </c>
      <c r="X49" s="39">
        <v>600</v>
      </c>
      <c r="Y49" s="155">
        <f t="shared" si="33"/>
        <v>1</v>
      </c>
      <c r="Z49" s="50">
        <v>500</v>
      </c>
      <c r="AA49" s="50"/>
      <c r="AB49" s="50">
        <v>500</v>
      </c>
      <c r="AC49" s="155">
        <f t="shared" si="34"/>
        <v>-0.166666666666667</v>
      </c>
      <c r="AD49" s="82">
        <f>表三!C22</f>
        <v>900</v>
      </c>
      <c r="AE49" s="82">
        <f>表三!D22</f>
        <v>400</v>
      </c>
      <c r="AF49" s="82">
        <f t="shared" si="29"/>
        <v>900</v>
      </c>
      <c r="AG49" s="82"/>
      <c r="AH49" s="82">
        <f t="shared" si="30"/>
        <v>900</v>
      </c>
    </row>
    <row r="50" ht="20" customHeight="1" spans="1:34">
      <c r="A50" s="150" t="s">
        <v>139</v>
      </c>
      <c r="B50" s="50">
        <v>1173</v>
      </c>
      <c r="C50" s="50">
        <v>1173</v>
      </c>
      <c r="D50" s="39">
        <v>1173</v>
      </c>
      <c r="E50" s="148">
        <f t="shared" si="31"/>
        <v>1</v>
      </c>
      <c r="F50" s="39">
        <v>1173</v>
      </c>
      <c r="G50" s="39">
        <v>1173</v>
      </c>
      <c r="H50" s="39"/>
      <c r="I50" s="39">
        <f t="shared" si="32"/>
        <v>1173</v>
      </c>
      <c r="J50" s="154" t="s">
        <v>134</v>
      </c>
      <c r="K50" s="50">
        <f t="shared" ref="K50:M50" si="38">SUM(K51:K52)</f>
        <v>700</v>
      </c>
      <c r="L50" s="50">
        <f t="shared" si="38"/>
        <v>800</v>
      </c>
      <c r="M50" s="50">
        <f t="shared" si="38"/>
        <v>800</v>
      </c>
      <c r="N50" s="155">
        <f t="shared" si="37"/>
        <v>1</v>
      </c>
      <c r="O50" s="50">
        <f t="shared" si="36"/>
        <v>0</v>
      </c>
      <c r="P50" s="50">
        <f>SUM(P51:P52)</f>
        <v>0</v>
      </c>
      <c r="Q50" s="50">
        <f>SUM(Q51:Q52)</f>
        <v>0</v>
      </c>
      <c r="R50" s="102"/>
      <c r="S50" s="102"/>
      <c r="T50" s="102"/>
      <c r="U50" s="154" t="s">
        <v>140</v>
      </c>
      <c r="V50" s="50">
        <f t="shared" ref="V50:X50" si="39">V51+V52+V53+V54+V55+V56+V61</f>
        <v>4433</v>
      </c>
      <c r="W50" s="50">
        <f t="shared" si="39"/>
        <v>12770</v>
      </c>
      <c r="X50" s="50">
        <f t="shared" si="39"/>
        <v>12770</v>
      </c>
      <c r="Y50" s="155">
        <f t="shared" si="33"/>
        <v>1</v>
      </c>
      <c r="Z50" s="50">
        <v>5583</v>
      </c>
      <c r="AA50" s="50">
        <v>883</v>
      </c>
      <c r="AB50" s="50">
        <v>4700</v>
      </c>
      <c r="AC50" s="155">
        <f t="shared" si="34"/>
        <v>-0.562803445575568</v>
      </c>
      <c r="AD50" s="82">
        <f>AD51+AD52+AD53+AD54+AD55+AD56+AD61</f>
        <v>6090</v>
      </c>
      <c r="AE50" s="82">
        <f>AE51+AE52+AE53+AE54+AE55+AE56+AE61</f>
        <v>2000</v>
      </c>
      <c r="AF50" s="82">
        <f t="shared" si="29"/>
        <v>7583</v>
      </c>
      <c r="AG50" s="82">
        <v>883</v>
      </c>
      <c r="AH50" s="82">
        <f t="shared" si="30"/>
        <v>6700</v>
      </c>
    </row>
    <row r="51" ht="20" customHeight="1" spans="1:34">
      <c r="A51" s="150" t="s">
        <v>141</v>
      </c>
      <c r="B51" s="50">
        <v>41</v>
      </c>
      <c r="C51" s="50">
        <v>41</v>
      </c>
      <c r="D51" s="39">
        <v>41</v>
      </c>
      <c r="E51" s="148">
        <f t="shared" si="31"/>
        <v>1</v>
      </c>
      <c r="F51" s="39">
        <v>41</v>
      </c>
      <c r="G51" s="39">
        <v>41</v>
      </c>
      <c r="H51" s="39"/>
      <c r="I51" s="39">
        <f t="shared" si="32"/>
        <v>41</v>
      </c>
      <c r="J51" s="159" t="s">
        <v>136</v>
      </c>
      <c r="K51" s="50">
        <v>200</v>
      </c>
      <c r="L51" s="50">
        <v>200</v>
      </c>
      <c r="M51" s="39">
        <v>200</v>
      </c>
      <c r="N51" s="155">
        <f t="shared" si="37"/>
        <v>1</v>
      </c>
      <c r="O51" s="50">
        <f t="shared" si="36"/>
        <v>0</v>
      </c>
      <c r="P51" s="50"/>
      <c r="Q51" s="50">
        <f t="shared" ref="Q51:Q58" si="40">R51</f>
        <v>0</v>
      </c>
      <c r="R51" s="102"/>
      <c r="S51" s="102"/>
      <c r="T51" s="102"/>
      <c r="U51" s="154" t="s">
        <v>142</v>
      </c>
      <c r="V51" s="50">
        <v>200</v>
      </c>
      <c r="W51" s="50">
        <v>200</v>
      </c>
      <c r="X51" s="39">
        <v>200</v>
      </c>
      <c r="Y51" s="155">
        <f t="shared" si="33"/>
        <v>1</v>
      </c>
      <c r="Z51" s="50">
        <v>200</v>
      </c>
      <c r="AA51" s="50"/>
      <c r="AB51" s="50">
        <v>200</v>
      </c>
      <c r="AC51" s="155">
        <f t="shared" si="34"/>
        <v>0</v>
      </c>
      <c r="AD51" s="82">
        <f>表三!C23</f>
        <v>180</v>
      </c>
      <c r="AE51" s="82">
        <f>表三!D23</f>
        <v>0</v>
      </c>
      <c r="AF51" s="82">
        <f>AB51+AE51</f>
        <v>200</v>
      </c>
      <c r="AG51" s="82"/>
      <c r="AH51" s="82">
        <f t="shared" si="30"/>
        <v>200</v>
      </c>
    </row>
    <row r="52" ht="20" customHeight="1" spans="1:34">
      <c r="A52" s="52" t="s">
        <v>143</v>
      </c>
      <c r="B52" s="50">
        <v>188</v>
      </c>
      <c r="C52" s="50">
        <v>188</v>
      </c>
      <c r="D52" s="39">
        <v>188</v>
      </c>
      <c r="E52" s="148">
        <f t="shared" si="31"/>
        <v>1</v>
      </c>
      <c r="F52" s="39">
        <v>188</v>
      </c>
      <c r="G52" s="39">
        <v>188</v>
      </c>
      <c r="H52" s="39"/>
      <c r="I52" s="39">
        <f t="shared" si="32"/>
        <v>188</v>
      </c>
      <c r="J52" s="159" t="s">
        <v>138</v>
      </c>
      <c r="K52" s="50">
        <v>500</v>
      </c>
      <c r="L52" s="50">
        <v>600</v>
      </c>
      <c r="M52" s="39">
        <v>600</v>
      </c>
      <c r="N52" s="155">
        <f t="shared" si="37"/>
        <v>1</v>
      </c>
      <c r="O52" s="50">
        <f t="shared" si="36"/>
        <v>0</v>
      </c>
      <c r="P52" s="50"/>
      <c r="Q52" s="50">
        <f t="shared" si="40"/>
        <v>0</v>
      </c>
      <c r="R52" s="102"/>
      <c r="S52" s="102"/>
      <c r="T52" s="102"/>
      <c r="U52" s="154" t="s">
        <v>144</v>
      </c>
      <c r="V52" s="50">
        <v>600</v>
      </c>
      <c r="W52" s="50">
        <v>700</v>
      </c>
      <c r="X52" s="39">
        <v>700</v>
      </c>
      <c r="Y52" s="155">
        <f t="shared" si="33"/>
        <v>1</v>
      </c>
      <c r="Z52" s="50">
        <v>1500</v>
      </c>
      <c r="AA52" s="50"/>
      <c r="AB52" s="50">
        <v>1500</v>
      </c>
      <c r="AC52" s="155">
        <f t="shared" si="34"/>
        <v>1.14285714285714</v>
      </c>
      <c r="AD52" s="82">
        <f>表三!C24</f>
        <v>1707</v>
      </c>
      <c r="AE52" s="82">
        <v>500</v>
      </c>
      <c r="AF52" s="82">
        <f t="shared" si="29"/>
        <v>2000</v>
      </c>
      <c r="AG52" s="82"/>
      <c r="AH52" s="82">
        <f t="shared" si="30"/>
        <v>2000</v>
      </c>
    </row>
    <row r="53" ht="20" customHeight="1" spans="1:34">
      <c r="A53" s="150" t="s">
        <v>145</v>
      </c>
      <c r="B53" s="50">
        <v>15</v>
      </c>
      <c r="C53" s="50">
        <v>15</v>
      </c>
      <c r="D53" s="39">
        <v>15</v>
      </c>
      <c r="E53" s="148">
        <f t="shared" si="31"/>
        <v>1</v>
      </c>
      <c r="F53" s="39">
        <v>15</v>
      </c>
      <c r="G53" s="39">
        <v>15</v>
      </c>
      <c r="H53" s="39"/>
      <c r="I53" s="39">
        <f t="shared" si="32"/>
        <v>15</v>
      </c>
      <c r="J53" s="154" t="s">
        <v>140</v>
      </c>
      <c r="K53" s="50">
        <f t="shared" ref="K53:M53" si="41">K54+K55+K56+K57+K58+K59+K65</f>
        <v>4433</v>
      </c>
      <c r="L53" s="50">
        <f t="shared" si="41"/>
        <v>12770</v>
      </c>
      <c r="M53" s="50">
        <f t="shared" si="41"/>
        <v>12770</v>
      </c>
      <c r="N53" s="155">
        <f t="shared" si="37"/>
        <v>1</v>
      </c>
      <c r="O53" s="50">
        <f t="shared" si="36"/>
        <v>883</v>
      </c>
      <c r="P53" s="50">
        <f>P54+P55+P56+P57+P58+P59+P65</f>
        <v>883</v>
      </c>
      <c r="Q53" s="50">
        <f>Q54+Q55+Q56+Q57+Q58+Q59+Q65</f>
        <v>0</v>
      </c>
      <c r="R53" s="102"/>
      <c r="S53" s="102"/>
      <c r="T53" s="102"/>
      <c r="U53" s="154" t="s">
        <v>146</v>
      </c>
      <c r="V53" s="50">
        <v>300</v>
      </c>
      <c r="W53" s="50">
        <v>300</v>
      </c>
      <c r="X53" s="39">
        <v>300</v>
      </c>
      <c r="Y53" s="155">
        <f t="shared" si="33"/>
        <v>1</v>
      </c>
      <c r="Z53" s="50">
        <v>200</v>
      </c>
      <c r="AA53" s="50"/>
      <c r="AB53" s="50">
        <v>200</v>
      </c>
      <c r="AC53" s="155">
        <f t="shared" si="34"/>
        <v>-0.333333333333333</v>
      </c>
      <c r="AD53" s="82">
        <f>表三!C25</f>
        <v>200</v>
      </c>
      <c r="AE53" s="82">
        <f>表三!D25</f>
        <v>0</v>
      </c>
      <c r="AF53" s="82">
        <f>AB53+AE53</f>
        <v>200</v>
      </c>
      <c r="AG53" s="82"/>
      <c r="AH53" s="82">
        <f t="shared" si="30"/>
        <v>200</v>
      </c>
    </row>
    <row r="54" ht="20" customHeight="1" spans="1:34">
      <c r="A54" s="127" t="s">
        <v>147</v>
      </c>
      <c r="B54" s="50">
        <v>337</v>
      </c>
      <c r="C54" s="50">
        <v>337</v>
      </c>
      <c r="D54" s="39">
        <v>337</v>
      </c>
      <c r="E54" s="148">
        <f t="shared" si="31"/>
        <v>1</v>
      </c>
      <c r="F54" s="39">
        <v>337</v>
      </c>
      <c r="G54" s="39">
        <v>337</v>
      </c>
      <c r="H54" s="39"/>
      <c r="I54" s="39">
        <f t="shared" si="32"/>
        <v>337</v>
      </c>
      <c r="J54" s="154" t="s">
        <v>142</v>
      </c>
      <c r="K54" s="50">
        <v>200</v>
      </c>
      <c r="L54" s="50">
        <v>200</v>
      </c>
      <c r="M54" s="39">
        <v>200</v>
      </c>
      <c r="N54" s="155">
        <f t="shared" si="37"/>
        <v>1</v>
      </c>
      <c r="O54" s="50">
        <f t="shared" si="36"/>
        <v>0</v>
      </c>
      <c r="P54" s="50"/>
      <c r="Q54" s="50">
        <f t="shared" si="40"/>
        <v>0</v>
      </c>
      <c r="R54" s="102"/>
      <c r="S54" s="102"/>
      <c r="T54" s="102"/>
      <c r="U54" s="154" t="s">
        <v>148</v>
      </c>
      <c r="V54" s="50">
        <v>300</v>
      </c>
      <c r="W54" s="50">
        <v>305</v>
      </c>
      <c r="X54" s="39">
        <v>305</v>
      </c>
      <c r="Y54" s="155">
        <f t="shared" si="33"/>
        <v>1</v>
      </c>
      <c r="Z54" s="50">
        <v>200</v>
      </c>
      <c r="AA54" s="50"/>
      <c r="AB54" s="50">
        <v>200</v>
      </c>
      <c r="AC54" s="155">
        <f t="shared" si="34"/>
        <v>-0.344262295081967</v>
      </c>
      <c r="AD54" s="82">
        <f>表三!C26</f>
        <v>294</v>
      </c>
      <c r="AE54" s="82">
        <f>表三!D26</f>
        <v>100</v>
      </c>
      <c r="AF54" s="82">
        <f>SUM(AG54:AH54)</f>
        <v>300</v>
      </c>
      <c r="AG54" s="82"/>
      <c r="AH54" s="82">
        <f t="shared" si="30"/>
        <v>300</v>
      </c>
    </row>
    <row r="55" ht="20" customHeight="1" spans="1:34">
      <c r="A55" s="52" t="s">
        <v>149</v>
      </c>
      <c r="B55" s="50">
        <v>813</v>
      </c>
      <c r="C55" s="50">
        <v>813</v>
      </c>
      <c r="D55" s="39">
        <v>813</v>
      </c>
      <c r="E55" s="148">
        <f t="shared" si="31"/>
        <v>1</v>
      </c>
      <c r="F55" s="39">
        <v>813</v>
      </c>
      <c r="G55" s="39">
        <v>813</v>
      </c>
      <c r="H55" s="39"/>
      <c r="I55" s="39">
        <f t="shared" si="32"/>
        <v>813</v>
      </c>
      <c r="J55" s="154" t="s">
        <v>144</v>
      </c>
      <c r="K55" s="50">
        <v>600</v>
      </c>
      <c r="L55" s="50">
        <v>700</v>
      </c>
      <c r="M55" s="39">
        <v>700</v>
      </c>
      <c r="N55" s="155">
        <f t="shared" si="37"/>
        <v>1</v>
      </c>
      <c r="O55" s="50">
        <f t="shared" si="36"/>
        <v>0</v>
      </c>
      <c r="P55" s="50"/>
      <c r="Q55" s="50">
        <f t="shared" si="40"/>
        <v>0</v>
      </c>
      <c r="R55" s="102"/>
      <c r="S55" s="102"/>
      <c r="T55" s="102"/>
      <c r="U55" s="154" t="s">
        <v>150</v>
      </c>
      <c r="V55" s="50">
        <v>1000</v>
      </c>
      <c r="W55" s="50">
        <v>1100</v>
      </c>
      <c r="X55" s="39">
        <v>1100</v>
      </c>
      <c r="Y55" s="155">
        <f t="shared" si="33"/>
        <v>1</v>
      </c>
      <c r="Z55" s="50">
        <v>1000</v>
      </c>
      <c r="AA55" s="50"/>
      <c r="AB55" s="50">
        <v>1000</v>
      </c>
      <c r="AC55" s="155">
        <f t="shared" si="34"/>
        <v>-0.0909090909090909</v>
      </c>
      <c r="AD55" s="82">
        <f>表三!C27</f>
        <v>1045</v>
      </c>
      <c r="AE55" s="82">
        <f>表三!D27</f>
        <v>100</v>
      </c>
      <c r="AF55" s="82">
        <f t="shared" si="29"/>
        <v>1100</v>
      </c>
      <c r="AG55" s="82"/>
      <c r="AH55" s="82">
        <f t="shared" si="30"/>
        <v>1100</v>
      </c>
    </row>
    <row r="56" ht="20" customHeight="1" spans="1:34">
      <c r="A56" s="150" t="s">
        <v>151</v>
      </c>
      <c r="B56" s="50">
        <v>48</v>
      </c>
      <c r="C56" s="50">
        <v>48</v>
      </c>
      <c r="D56" s="39">
        <v>48</v>
      </c>
      <c r="E56" s="148">
        <f t="shared" si="31"/>
        <v>1</v>
      </c>
      <c r="F56" s="39">
        <v>48</v>
      </c>
      <c r="G56" s="39">
        <v>48</v>
      </c>
      <c r="H56" s="39"/>
      <c r="I56" s="39">
        <f t="shared" si="32"/>
        <v>48</v>
      </c>
      <c r="J56" s="154" t="s">
        <v>146</v>
      </c>
      <c r="K56" s="50">
        <v>300</v>
      </c>
      <c r="L56" s="50">
        <v>300</v>
      </c>
      <c r="M56" s="39">
        <v>300</v>
      </c>
      <c r="N56" s="155">
        <f t="shared" si="37"/>
        <v>1</v>
      </c>
      <c r="O56" s="50">
        <f t="shared" si="36"/>
        <v>0</v>
      </c>
      <c r="P56" s="50"/>
      <c r="Q56" s="50">
        <f t="shared" si="40"/>
        <v>0</v>
      </c>
      <c r="R56" s="102"/>
      <c r="S56" s="102"/>
      <c r="T56" s="102"/>
      <c r="U56" s="154" t="s">
        <v>152</v>
      </c>
      <c r="V56" s="50">
        <f>SUM(V57:V60)</f>
        <v>2033</v>
      </c>
      <c r="W56" s="50">
        <f>SUM(W57:W60)</f>
        <v>2483</v>
      </c>
      <c r="X56" s="50">
        <f>SUM(X57:X60)</f>
        <v>2483</v>
      </c>
      <c r="Y56" s="155">
        <f t="shared" si="33"/>
        <v>1</v>
      </c>
      <c r="Z56" s="50">
        <v>2033</v>
      </c>
      <c r="AA56" s="50">
        <v>883</v>
      </c>
      <c r="AB56" s="50">
        <v>1150</v>
      </c>
      <c r="AC56" s="155">
        <f t="shared" si="34"/>
        <v>-0.18123238018526</v>
      </c>
      <c r="AD56" s="82">
        <f>SUM(AD57:AD60)</f>
        <v>2214</v>
      </c>
      <c r="AE56" s="82">
        <f>SUM(AE57:AE60)</f>
        <v>500</v>
      </c>
      <c r="AF56" s="82">
        <f t="shared" si="29"/>
        <v>2533</v>
      </c>
      <c r="AG56" s="82">
        <v>883</v>
      </c>
      <c r="AH56" s="82">
        <f t="shared" si="30"/>
        <v>1650</v>
      </c>
    </row>
    <row r="57" ht="20" customHeight="1" spans="1:34">
      <c r="A57" s="149" t="s">
        <v>153</v>
      </c>
      <c r="B57" s="50">
        <v>756</v>
      </c>
      <c r="C57" s="50">
        <v>756</v>
      </c>
      <c r="D57" s="39">
        <v>756</v>
      </c>
      <c r="E57" s="148">
        <f t="shared" si="31"/>
        <v>1</v>
      </c>
      <c r="F57" s="39">
        <v>756</v>
      </c>
      <c r="G57" s="39">
        <v>756</v>
      </c>
      <c r="H57" s="39"/>
      <c r="I57" s="39">
        <f t="shared" si="32"/>
        <v>756</v>
      </c>
      <c r="J57" s="154" t="s">
        <v>148</v>
      </c>
      <c r="K57" s="50">
        <v>300</v>
      </c>
      <c r="L57" s="50">
        <v>305</v>
      </c>
      <c r="M57" s="39">
        <v>305</v>
      </c>
      <c r="N57" s="155">
        <f t="shared" si="37"/>
        <v>1</v>
      </c>
      <c r="O57" s="50">
        <f t="shared" si="36"/>
        <v>0</v>
      </c>
      <c r="P57" s="50"/>
      <c r="Q57" s="50">
        <f t="shared" si="40"/>
        <v>0</v>
      </c>
      <c r="R57" s="102"/>
      <c r="S57" s="102"/>
      <c r="T57" s="102"/>
      <c r="U57" s="160" t="s">
        <v>154</v>
      </c>
      <c r="V57" s="50">
        <v>500</v>
      </c>
      <c r="W57" s="50">
        <v>850</v>
      </c>
      <c r="X57" s="39">
        <v>850</v>
      </c>
      <c r="Y57" s="155">
        <f t="shared" si="33"/>
        <v>1</v>
      </c>
      <c r="Z57" s="50">
        <v>500</v>
      </c>
      <c r="AA57" s="50"/>
      <c r="AB57" s="50">
        <v>500</v>
      </c>
      <c r="AC57" s="155">
        <f t="shared" si="34"/>
        <v>-0.411764705882353</v>
      </c>
      <c r="AD57" s="82">
        <f>表三!C29</f>
        <v>500</v>
      </c>
      <c r="AE57" s="82">
        <f>表三!D29</f>
        <v>0</v>
      </c>
      <c r="AF57" s="82">
        <f t="shared" si="29"/>
        <v>500</v>
      </c>
      <c r="AG57" s="82"/>
      <c r="AH57" s="82">
        <f t="shared" si="30"/>
        <v>500</v>
      </c>
    </row>
    <row r="58" ht="20" customHeight="1" spans="1:34">
      <c r="A58" s="149" t="s">
        <v>155</v>
      </c>
      <c r="B58" s="50"/>
      <c r="C58" s="50">
        <v>2936</v>
      </c>
      <c r="D58" s="39">
        <v>2936</v>
      </c>
      <c r="E58" s="148">
        <f t="shared" si="31"/>
        <v>1</v>
      </c>
      <c r="F58" s="39"/>
      <c r="G58" s="39">
        <v>2244</v>
      </c>
      <c r="H58" s="39">
        <v>2244</v>
      </c>
      <c r="I58" s="39">
        <f t="shared" si="32"/>
        <v>2244</v>
      </c>
      <c r="J58" s="154" t="s">
        <v>150</v>
      </c>
      <c r="K58" s="50">
        <v>1000</v>
      </c>
      <c r="L58" s="50">
        <v>1100</v>
      </c>
      <c r="M58" s="39">
        <v>1100</v>
      </c>
      <c r="N58" s="155">
        <f t="shared" si="37"/>
        <v>1</v>
      </c>
      <c r="O58" s="50">
        <f t="shared" si="36"/>
        <v>0</v>
      </c>
      <c r="P58" s="50"/>
      <c r="Q58" s="50">
        <f t="shared" si="40"/>
        <v>0</v>
      </c>
      <c r="R58" s="102"/>
      <c r="S58" s="102"/>
      <c r="T58" s="102"/>
      <c r="U58" s="100" t="s">
        <v>156</v>
      </c>
      <c r="V58" s="50">
        <v>650</v>
      </c>
      <c r="W58" s="50">
        <v>750</v>
      </c>
      <c r="X58" s="39">
        <v>750</v>
      </c>
      <c r="Y58" s="155">
        <f t="shared" si="33"/>
        <v>1</v>
      </c>
      <c r="Z58" s="50">
        <v>650</v>
      </c>
      <c r="AA58" s="50"/>
      <c r="AB58" s="50">
        <v>650</v>
      </c>
      <c r="AC58" s="155">
        <f t="shared" si="34"/>
        <v>-0.133333333333333</v>
      </c>
      <c r="AD58" s="82">
        <f>表三!C30</f>
        <v>831</v>
      </c>
      <c r="AE58" s="82">
        <f>表三!D30</f>
        <v>500</v>
      </c>
      <c r="AF58" s="82">
        <f t="shared" si="29"/>
        <v>1150</v>
      </c>
      <c r="AG58" s="82"/>
      <c r="AH58" s="82">
        <f t="shared" si="30"/>
        <v>1150</v>
      </c>
    </row>
    <row r="59" ht="20" customHeight="1" spans="1:34">
      <c r="A59" s="149" t="s">
        <v>157</v>
      </c>
      <c r="B59" s="50"/>
      <c r="C59" s="50"/>
      <c r="D59" s="39"/>
      <c r="E59" s="148"/>
      <c r="F59" s="39"/>
      <c r="G59" s="39">
        <v>3318</v>
      </c>
      <c r="H59" s="39">
        <f>1893+88+1337</f>
        <v>3318</v>
      </c>
      <c r="I59" s="39">
        <f t="shared" si="32"/>
        <v>3318</v>
      </c>
      <c r="J59" s="154" t="s">
        <v>152</v>
      </c>
      <c r="K59" s="50">
        <f>SUM(K60:K64)</f>
        <v>2033</v>
      </c>
      <c r="L59" s="50">
        <f>SUM(L60:L64)</f>
        <v>2483</v>
      </c>
      <c r="M59" s="50">
        <f>SUM(M60:M64)</f>
        <v>2483</v>
      </c>
      <c r="N59" s="155">
        <f t="shared" si="37"/>
        <v>1</v>
      </c>
      <c r="O59" s="50">
        <f t="shared" si="36"/>
        <v>883</v>
      </c>
      <c r="P59" s="50">
        <f>SUM(P60:P64)</f>
        <v>883</v>
      </c>
      <c r="Q59" s="50">
        <f>SUM(Q60:Q64)</f>
        <v>0</v>
      </c>
      <c r="R59" s="102"/>
      <c r="S59" s="102"/>
      <c r="T59" s="102"/>
      <c r="U59" s="100" t="s">
        <v>158</v>
      </c>
      <c r="V59" s="50">
        <v>570</v>
      </c>
      <c r="W59" s="50">
        <v>570</v>
      </c>
      <c r="X59" s="39">
        <v>570</v>
      </c>
      <c r="Y59" s="155">
        <f t="shared" si="33"/>
        <v>1</v>
      </c>
      <c r="Z59" s="50">
        <v>570</v>
      </c>
      <c r="AA59" s="50">
        <v>570</v>
      </c>
      <c r="AB59" s="50">
        <v>0</v>
      </c>
      <c r="AC59" s="155">
        <f t="shared" si="34"/>
        <v>0</v>
      </c>
      <c r="AD59" s="82">
        <v>570</v>
      </c>
      <c r="AE59" s="82"/>
      <c r="AF59" s="82">
        <f t="shared" si="29"/>
        <v>570</v>
      </c>
      <c r="AG59" s="82">
        <v>570</v>
      </c>
      <c r="AH59" s="82">
        <f t="shared" si="30"/>
        <v>0</v>
      </c>
    </row>
    <row r="60" ht="20" customHeight="1" spans="1:36">
      <c r="A60" s="150" t="s">
        <v>159</v>
      </c>
      <c r="B60" s="50">
        <v>10000</v>
      </c>
      <c r="C60" s="50"/>
      <c r="D60" s="39">
        <v>700</v>
      </c>
      <c r="E60" s="148"/>
      <c r="F60" s="39">
        <f>5000+5000</f>
        <v>10000</v>
      </c>
      <c r="G60" s="39"/>
      <c r="H60" s="39">
        <f>-10000</f>
        <v>-10000</v>
      </c>
      <c r="I60" s="39">
        <f t="shared" si="32"/>
        <v>0</v>
      </c>
      <c r="J60" s="160" t="s">
        <v>154</v>
      </c>
      <c r="K60" s="50">
        <v>500</v>
      </c>
      <c r="L60" s="50">
        <v>850</v>
      </c>
      <c r="M60" s="39">
        <v>850</v>
      </c>
      <c r="N60" s="155">
        <f t="shared" si="37"/>
        <v>1</v>
      </c>
      <c r="O60" s="50">
        <f t="shared" si="36"/>
        <v>0</v>
      </c>
      <c r="P60" s="50"/>
      <c r="Q60" s="50">
        <f>R60</f>
        <v>0</v>
      </c>
      <c r="R60" s="102"/>
      <c r="S60" s="102"/>
      <c r="T60" s="102"/>
      <c r="U60" s="160" t="s">
        <v>160</v>
      </c>
      <c r="V60" s="50">
        <v>313</v>
      </c>
      <c r="W60" s="50">
        <v>313</v>
      </c>
      <c r="X60" s="39">
        <v>313</v>
      </c>
      <c r="Y60" s="155">
        <f t="shared" si="33"/>
        <v>1</v>
      </c>
      <c r="Z60" s="50">
        <v>313</v>
      </c>
      <c r="AA60" s="50">
        <v>313</v>
      </c>
      <c r="AB60" s="50">
        <v>0</v>
      </c>
      <c r="AC60" s="155">
        <f t="shared" si="34"/>
        <v>0</v>
      </c>
      <c r="AD60" s="82">
        <v>313</v>
      </c>
      <c r="AE60" s="82"/>
      <c r="AF60" s="82">
        <f t="shared" ref="AF60:AF69" si="42">SUM(AG60:AH60)</f>
        <v>313</v>
      </c>
      <c r="AG60" s="82">
        <v>313</v>
      </c>
      <c r="AH60" s="82">
        <f t="shared" si="30"/>
        <v>0</v>
      </c>
      <c r="AJ60" s="116">
        <f>I61-AI61</f>
        <v>0</v>
      </c>
    </row>
    <row r="61" ht="20" customHeight="1" spans="1:37">
      <c r="A61" s="150" t="s">
        <v>161</v>
      </c>
      <c r="B61" s="39">
        <f>SUM(B62:B81)</f>
        <v>169215</v>
      </c>
      <c r="C61" s="39">
        <f>SUM(C62:C81)</f>
        <v>179000</v>
      </c>
      <c r="D61" s="39">
        <f>SUM(D62:D81)</f>
        <v>180277</v>
      </c>
      <c r="E61" s="148">
        <f t="shared" ref="E61:E71" si="43">D61/C61</f>
        <v>1.00713407821229</v>
      </c>
      <c r="F61" s="39">
        <f>SUM(F62:F81)</f>
        <v>178472</v>
      </c>
      <c r="G61" s="39">
        <f>SUM(G62:G81)</f>
        <v>194794</v>
      </c>
      <c r="H61" s="39">
        <f>SUM(H62:H81)</f>
        <v>17968</v>
      </c>
      <c r="I61" s="39">
        <f>SUM(I62:I81)</f>
        <v>196440</v>
      </c>
      <c r="J61" s="160"/>
      <c r="K61" s="50"/>
      <c r="L61" s="50"/>
      <c r="M61" s="39"/>
      <c r="N61" s="155"/>
      <c r="O61" s="50"/>
      <c r="P61" s="50"/>
      <c r="Q61" s="50"/>
      <c r="R61" s="102"/>
      <c r="S61" s="102"/>
      <c r="T61" s="102"/>
      <c r="U61" s="160" t="s">
        <v>162</v>
      </c>
      <c r="V61" s="50">
        <v>0</v>
      </c>
      <c r="W61" s="50">
        <v>7682</v>
      </c>
      <c r="X61" s="39">
        <v>7682</v>
      </c>
      <c r="Y61" s="155">
        <f t="shared" si="33"/>
        <v>1</v>
      </c>
      <c r="Z61" s="50">
        <v>450</v>
      </c>
      <c r="AA61" s="50"/>
      <c r="AB61" s="50">
        <v>450</v>
      </c>
      <c r="AC61" s="155"/>
      <c r="AD61" s="82">
        <f>表三!C31</f>
        <v>450</v>
      </c>
      <c r="AE61" s="82">
        <f>表三!D31</f>
        <v>800</v>
      </c>
      <c r="AF61" s="82">
        <f t="shared" si="42"/>
        <v>1250</v>
      </c>
      <c r="AG61" s="82"/>
      <c r="AH61" s="82">
        <f t="shared" si="30"/>
        <v>1250</v>
      </c>
      <c r="AI61" s="116">
        <v>196440</v>
      </c>
      <c r="AJ61" s="116">
        <f>SUM(AJ62:AJ81)</f>
        <v>196922</v>
      </c>
      <c r="AK61" s="116">
        <f>I61-AJ61</f>
        <v>-482</v>
      </c>
    </row>
    <row r="62" ht="20" customHeight="1" spans="1:37">
      <c r="A62" s="52" t="s">
        <v>163</v>
      </c>
      <c r="B62" s="50">
        <v>450</v>
      </c>
      <c r="C62" s="50">
        <v>300</v>
      </c>
      <c r="D62" s="50">
        <v>282</v>
      </c>
      <c r="E62" s="148">
        <f t="shared" si="43"/>
        <v>0.94</v>
      </c>
      <c r="F62" s="50">
        <v>200</v>
      </c>
      <c r="G62" s="50">
        <v>58</v>
      </c>
      <c r="H62" s="50">
        <f>I62-F62</f>
        <v>-120</v>
      </c>
      <c r="I62" s="50">
        <v>80</v>
      </c>
      <c r="J62" s="100" t="s">
        <v>156</v>
      </c>
      <c r="K62" s="50">
        <v>650</v>
      </c>
      <c r="L62" s="50">
        <v>750</v>
      </c>
      <c r="M62" s="39">
        <v>750</v>
      </c>
      <c r="N62" s="155">
        <f>M62/L62</f>
        <v>1</v>
      </c>
      <c r="O62" s="50">
        <f t="shared" ref="O62:O73" si="44">P62+Q62</f>
        <v>0</v>
      </c>
      <c r="P62" s="50"/>
      <c r="Q62" s="50">
        <f>R62</f>
        <v>0</v>
      </c>
      <c r="R62" s="102"/>
      <c r="S62" s="102"/>
      <c r="T62" s="102"/>
      <c r="U62" s="158" t="s">
        <v>164</v>
      </c>
      <c r="V62" s="50">
        <v>500</v>
      </c>
      <c r="W62" s="50">
        <v>500</v>
      </c>
      <c r="X62" s="39">
        <v>500</v>
      </c>
      <c r="Y62" s="155">
        <f t="shared" si="33"/>
        <v>1</v>
      </c>
      <c r="Z62" s="50">
        <v>500</v>
      </c>
      <c r="AA62" s="50"/>
      <c r="AB62" s="50">
        <v>500</v>
      </c>
      <c r="AC62" s="155">
        <f t="shared" ref="AC62:AC67" si="45">(Z62-X62)/X62</f>
        <v>0</v>
      </c>
      <c r="AD62" s="82">
        <f>表三!C32</f>
        <v>258</v>
      </c>
      <c r="AE62" s="82">
        <f>表三!D32</f>
        <v>0</v>
      </c>
      <c r="AF62" s="82">
        <f t="shared" si="42"/>
        <v>500</v>
      </c>
      <c r="AG62" s="82"/>
      <c r="AH62" s="82">
        <f t="shared" si="30"/>
        <v>500</v>
      </c>
      <c r="AJ62" s="116">
        <v>76</v>
      </c>
      <c r="AK62" s="116">
        <f t="shared" ref="AK62:AK81" si="46">I62-AJ62</f>
        <v>4</v>
      </c>
    </row>
    <row r="63" ht="20" customHeight="1" spans="1:37">
      <c r="A63" s="52" t="s">
        <v>165</v>
      </c>
      <c r="B63" s="50">
        <v>25</v>
      </c>
      <c r="C63" s="50">
        <v>25</v>
      </c>
      <c r="D63" s="50">
        <v>25</v>
      </c>
      <c r="E63" s="148">
        <f t="shared" si="43"/>
        <v>1</v>
      </c>
      <c r="F63" s="50">
        <v>25</v>
      </c>
      <c r="G63" s="50"/>
      <c r="H63" s="50">
        <f t="shared" ref="H63:H81" si="47">I63-F63</f>
        <v>-25</v>
      </c>
      <c r="I63" s="50"/>
      <c r="J63" s="100" t="s">
        <v>158</v>
      </c>
      <c r="K63" s="50">
        <v>570</v>
      </c>
      <c r="L63" s="50">
        <v>570</v>
      </c>
      <c r="M63" s="39">
        <v>570</v>
      </c>
      <c r="N63" s="155">
        <f>M63/L63</f>
        <v>1</v>
      </c>
      <c r="O63" s="50">
        <f t="shared" si="44"/>
        <v>570</v>
      </c>
      <c r="P63" s="50">
        <v>570</v>
      </c>
      <c r="Q63" s="50">
        <f>R63</f>
        <v>0</v>
      </c>
      <c r="R63" s="102"/>
      <c r="S63" s="102"/>
      <c r="T63" s="102"/>
      <c r="U63" s="158" t="s">
        <v>166</v>
      </c>
      <c r="V63" s="50"/>
      <c r="W63" s="50"/>
      <c r="X63" s="39"/>
      <c r="Y63" s="155"/>
      <c r="Z63" s="50">
        <v>480</v>
      </c>
      <c r="AA63" s="50"/>
      <c r="AB63" s="50">
        <v>480</v>
      </c>
      <c r="AC63" s="155"/>
      <c r="AD63" s="82">
        <f>表三!C33</f>
        <v>468</v>
      </c>
      <c r="AE63" s="82">
        <f>表三!D33</f>
        <v>1550</v>
      </c>
      <c r="AF63" s="82">
        <f t="shared" si="42"/>
        <v>2030</v>
      </c>
      <c r="AG63" s="82"/>
      <c r="AH63" s="82">
        <f t="shared" si="30"/>
        <v>2030</v>
      </c>
      <c r="AK63" s="116">
        <f t="shared" si="46"/>
        <v>0</v>
      </c>
    </row>
    <row r="64" ht="20" customHeight="1" spans="1:37">
      <c r="A64" s="52" t="s">
        <v>167</v>
      </c>
      <c r="B64" s="50">
        <v>850</v>
      </c>
      <c r="C64" s="50">
        <v>1010</v>
      </c>
      <c r="D64" s="50">
        <v>1009</v>
      </c>
      <c r="E64" s="148">
        <f t="shared" si="43"/>
        <v>0.999009900990099</v>
      </c>
      <c r="F64" s="50">
        <v>993</v>
      </c>
      <c r="G64" s="50">
        <v>880</v>
      </c>
      <c r="H64" s="50">
        <f t="shared" si="47"/>
        <v>-113</v>
      </c>
      <c r="I64" s="50">
        <v>880</v>
      </c>
      <c r="J64" s="160" t="s">
        <v>160</v>
      </c>
      <c r="K64" s="50">
        <v>313</v>
      </c>
      <c r="L64" s="50">
        <v>313</v>
      </c>
      <c r="M64" s="39">
        <v>313</v>
      </c>
      <c r="N64" s="155">
        <f>M64/L64</f>
        <v>1</v>
      </c>
      <c r="O64" s="50">
        <f t="shared" si="44"/>
        <v>313</v>
      </c>
      <c r="P64" s="50">
        <v>313</v>
      </c>
      <c r="Q64" s="50">
        <f>R64</f>
        <v>0</v>
      </c>
      <c r="R64" s="102"/>
      <c r="S64" s="102"/>
      <c r="T64" s="102"/>
      <c r="U64" s="161" t="s">
        <v>168</v>
      </c>
      <c r="V64" s="50">
        <v>1100</v>
      </c>
      <c r="W64" s="50">
        <v>1100</v>
      </c>
      <c r="X64" s="39">
        <v>1100</v>
      </c>
      <c r="Y64" s="155">
        <f t="shared" ref="Y64:Y71" si="48">X64/W64</f>
        <v>1</v>
      </c>
      <c r="Z64" s="50">
        <v>0</v>
      </c>
      <c r="AA64" s="50"/>
      <c r="AB64" s="50">
        <v>0</v>
      </c>
      <c r="AC64" s="155"/>
      <c r="AD64" s="82">
        <f>表三!C34</f>
        <v>800</v>
      </c>
      <c r="AE64" s="82">
        <f>表三!D34</f>
        <v>900</v>
      </c>
      <c r="AF64" s="82">
        <f t="shared" si="42"/>
        <v>900</v>
      </c>
      <c r="AG64" s="82"/>
      <c r="AH64" s="82">
        <f t="shared" si="30"/>
        <v>900</v>
      </c>
      <c r="AJ64" s="116">
        <v>880</v>
      </c>
      <c r="AK64" s="116">
        <f t="shared" si="46"/>
        <v>0</v>
      </c>
    </row>
    <row r="65" ht="20" customHeight="1" spans="1:37">
      <c r="A65" s="52" t="s">
        <v>169</v>
      </c>
      <c r="B65" s="50">
        <v>16500</v>
      </c>
      <c r="C65" s="50">
        <v>15990</v>
      </c>
      <c r="D65" s="50">
        <f>16267</f>
        <v>16267</v>
      </c>
      <c r="E65" s="148">
        <f t="shared" si="43"/>
        <v>1.01732332707942</v>
      </c>
      <c r="F65" s="50">
        <v>16200</v>
      </c>
      <c r="G65" s="50">
        <v>18488</v>
      </c>
      <c r="H65" s="50">
        <f t="shared" si="47"/>
        <v>2450</v>
      </c>
      <c r="I65" s="50">
        <f>18600+50</f>
        <v>18650</v>
      </c>
      <c r="J65" s="160" t="s">
        <v>162</v>
      </c>
      <c r="K65" s="50">
        <v>0</v>
      </c>
      <c r="L65" s="50">
        <v>7682</v>
      </c>
      <c r="M65" s="39">
        <v>7682</v>
      </c>
      <c r="N65" s="155">
        <f>M65/L65</f>
        <v>1</v>
      </c>
      <c r="O65" s="50">
        <f t="shared" si="44"/>
        <v>0</v>
      </c>
      <c r="P65" s="50"/>
      <c r="Q65" s="50">
        <f>R65</f>
        <v>0</v>
      </c>
      <c r="R65" s="102"/>
      <c r="S65" s="102"/>
      <c r="T65" s="102"/>
      <c r="U65" s="166" t="s">
        <v>170</v>
      </c>
      <c r="V65" s="50">
        <v>300</v>
      </c>
      <c r="W65" s="50">
        <v>820</v>
      </c>
      <c r="X65" s="39">
        <v>812</v>
      </c>
      <c r="Y65" s="155">
        <f t="shared" si="48"/>
        <v>0.990243902439024</v>
      </c>
      <c r="Z65" s="50">
        <v>300</v>
      </c>
      <c r="AA65" s="50"/>
      <c r="AB65" s="50">
        <v>300</v>
      </c>
      <c r="AC65" s="155">
        <f t="shared" si="45"/>
        <v>-0.630541871921182</v>
      </c>
      <c r="AD65" s="82">
        <f>表三!C35</f>
        <v>1201</v>
      </c>
      <c r="AE65" s="82">
        <f>表三!D35</f>
        <v>1000</v>
      </c>
      <c r="AF65" s="82">
        <f t="shared" si="42"/>
        <v>1300</v>
      </c>
      <c r="AG65" s="82"/>
      <c r="AH65" s="82">
        <f t="shared" si="30"/>
        <v>1300</v>
      </c>
      <c r="AJ65" s="116">
        <v>18645</v>
      </c>
      <c r="AK65" s="116">
        <f t="shared" si="46"/>
        <v>5</v>
      </c>
    </row>
    <row r="66" ht="20" customHeight="1" spans="1:37">
      <c r="A66" s="52" t="s">
        <v>171</v>
      </c>
      <c r="B66" s="50">
        <v>120</v>
      </c>
      <c r="C66" s="50">
        <v>20</v>
      </c>
      <c r="D66" s="50">
        <v>20</v>
      </c>
      <c r="E66" s="148">
        <f t="shared" si="43"/>
        <v>1</v>
      </c>
      <c r="F66" s="50">
        <v>20</v>
      </c>
      <c r="G66" s="50">
        <v>15</v>
      </c>
      <c r="H66" s="50">
        <f t="shared" si="47"/>
        <v>0</v>
      </c>
      <c r="I66" s="50">
        <v>20</v>
      </c>
      <c r="J66" s="158" t="s">
        <v>164</v>
      </c>
      <c r="K66" s="50">
        <v>500</v>
      </c>
      <c r="L66" s="50">
        <v>500</v>
      </c>
      <c r="M66" s="39">
        <v>500</v>
      </c>
      <c r="N66" s="155">
        <f>M66/L66</f>
        <v>1</v>
      </c>
      <c r="O66" s="50">
        <f t="shared" si="44"/>
        <v>0</v>
      </c>
      <c r="P66" s="50"/>
      <c r="Q66" s="50">
        <f>R66</f>
        <v>0</v>
      </c>
      <c r="R66" s="102"/>
      <c r="S66" s="102"/>
      <c r="T66" s="102"/>
      <c r="U66" s="166" t="s">
        <v>172</v>
      </c>
      <c r="V66" s="50">
        <v>2800</v>
      </c>
      <c r="W66" s="50">
        <v>5594</v>
      </c>
      <c r="X66" s="39">
        <v>5595</v>
      </c>
      <c r="Y66" s="155">
        <f t="shared" si="48"/>
        <v>1.00017876296031</v>
      </c>
      <c r="Z66" s="50">
        <v>3100</v>
      </c>
      <c r="AA66" s="50"/>
      <c r="AB66" s="50">
        <v>3100</v>
      </c>
      <c r="AC66" s="155">
        <f t="shared" si="45"/>
        <v>-0.445933869526363</v>
      </c>
      <c r="AD66" s="82">
        <f>表三!C36</f>
        <v>2291</v>
      </c>
      <c r="AE66" s="82">
        <f>表三!D36</f>
        <v>1700</v>
      </c>
      <c r="AF66" s="82">
        <f t="shared" si="42"/>
        <v>4800</v>
      </c>
      <c r="AG66" s="82"/>
      <c r="AH66" s="82">
        <f t="shared" si="30"/>
        <v>4800</v>
      </c>
      <c r="AJ66" s="116">
        <v>15</v>
      </c>
      <c r="AK66" s="116">
        <f t="shared" si="46"/>
        <v>5</v>
      </c>
    </row>
    <row r="67" ht="20" customHeight="1" spans="1:37">
      <c r="A67" s="52" t="s">
        <v>173</v>
      </c>
      <c r="B67" s="50">
        <v>720</v>
      </c>
      <c r="C67" s="50">
        <v>2120</v>
      </c>
      <c r="D67" s="50">
        <v>2178</v>
      </c>
      <c r="E67" s="148">
        <f t="shared" si="43"/>
        <v>1.02735849056604</v>
      </c>
      <c r="F67" s="50">
        <v>2059</v>
      </c>
      <c r="G67" s="50">
        <v>2770</v>
      </c>
      <c r="H67" s="50">
        <f t="shared" si="47"/>
        <v>711</v>
      </c>
      <c r="I67" s="50">
        <v>2770</v>
      </c>
      <c r="J67" s="158" t="s">
        <v>166</v>
      </c>
      <c r="K67" s="50"/>
      <c r="L67" s="50"/>
      <c r="M67" s="39"/>
      <c r="N67" s="155"/>
      <c r="O67" s="50">
        <f t="shared" si="44"/>
        <v>480</v>
      </c>
      <c r="P67" s="50"/>
      <c r="Q67" s="50">
        <v>480</v>
      </c>
      <c r="R67" s="102"/>
      <c r="S67" s="102"/>
      <c r="T67" s="102"/>
      <c r="U67" s="166" t="s">
        <v>174</v>
      </c>
      <c r="V67" s="50">
        <v>3235</v>
      </c>
      <c r="W67" s="50">
        <v>6550</v>
      </c>
      <c r="X67" s="39">
        <v>6550</v>
      </c>
      <c r="Y67" s="155">
        <f t="shared" si="48"/>
        <v>1</v>
      </c>
      <c r="Z67" s="50">
        <v>5163</v>
      </c>
      <c r="AA67" s="50"/>
      <c r="AB67" s="50">
        <v>5163</v>
      </c>
      <c r="AC67" s="155">
        <f t="shared" si="45"/>
        <v>-0.21175572519084</v>
      </c>
      <c r="AD67" s="82">
        <f>表三!C37</f>
        <v>8990</v>
      </c>
      <c r="AE67" s="82">
        <v>4072</v>
      </c>
      <c r="AF67" s="82">
        <f t="shared" si="42"/>
        <v>9235</v>
      </c>
      <c r="AG67" s="82"/>
      <c r="AH67" s="82">
        <f t="shared" si="30"/>
        <v>9235</v>
      </c>
      <c r="AJ67" s="116">
        <v>2790</v>
      </c>
      <c r="AK67" s="116">
        <f t="shared" si="46"/>
        <v>-20</v>
      </c>
    </row>
    <row r="68" ht="20" customHeight="1" spans="1:37">
      <c r="A68" s="52" t="s">
        <v>175</v>
      </c>
      <c r="B68" s="50">
        <v>23200</v>
      </c>
      <c r="C68" s="50">
        <v>26630</v>
      </c>
      <c r="D68" s="50">
        <v>26795</v>
      </c>
      <c r="E68" s="148">
        <f t="shared" si="43"/>
        <v>1.00619601952685</v>
      </c>
      <c r="F68" s="50">
        <v>26894</v>
      </c>
      <c r="G68" s="50">
        <v>30101</v>
      </c>
      <c r="H68" s="50">
        <f t="shared" si="47"/>
        <v>3606</v>
      </c>
      <c r="I68" s="50">
        <f>30200+300</f>
        <v>30500</v>
      </c>
      <c r="J68" s="161" t="s">
        <v>176</v>
      </c>
      <c r="K68" s="50">
        <v>1100</v>
      </c>
      <c r="L68" s="50">
        <v>1100</v>
      </c>
      <c r="M68" s="39">
        <v>1100</v>
      </c>
      <c r="N68" s="155">
        <f t="shared" ref="N68:N75" si="49">M68/L68</f>
        <v>1</v>
      </c>
      <c r="O68" s="50">
        <f t="shared" si="44"/>
        <v>0</v>
      </c>
      <c r="P68" s="50"/>
      <c r="Q68" s="50">
        <f t="shared" ref="Q68:Q72" si="50">R68</f>
        <v>0</v>
      </c>
      <c r="R68" s="102"/>
      <c r="S68" s="102"/>
      <c r="T68" s="102"/>
      <c r="U68" s="166" t="s">
        <v>177</v>
      </c>
      <c r="V68" s="50">
        <v>0</v>
      </c>
      <c r="W68" s="50">
        <v>132</v>
      </c>
      <c r="X68" s="39">
        <f>132+2</f>
        <v>134</v>
      </c>
      <c r="Y68" s="155">
        <f t="shared" si="48"/>
        <v>1.01515151515152</v>
      </c>
      <c r="Z68" s="50">
        <v>0</v>
      </c>
      <c r="AA68" s="50"/>
      <c r="AB68" s="50"/>
      <c r="AC68" s="155"/>
      <c r="AD68" s="82">
        <f>表三!C38</f>
        <v>147</v>
      </c>
      <c r="AE68" s="82">
        <v>147</v>
      </c>
      <c r="AF68" s="82">
        <f t="shared" si="42"/>
        <v>147</v>
      </c>
      <c r="AG68" s="82"/>
      <c r="AH68" s="82">
        <f t="shared" si="30"/>
        <v>147</v>
      </c>
      <c r="AJ68" s="116">
        <v>30512</v>
      </c>
      <c r="AK68" s="116">
        <f t="shared" si="46"/>
        <v>-12</v>
      </c>
    </row>
    <row r="69" ht="20" customHeight="1" spans="1:37">
      <c r="A69" s="52" t="s">
        <v>178</v>
      </c>
      <c r="B69" s="50">
        <v>24900</v>
      </c>
      <c r="C69" s="50">
        <v>25010</v>
      </c>
      <c r="D69" s="50">
        <v>25019</v>
      </c>
      <c r="E69" s="148">
        <f t="shared" si="43"/>
        <v>1.00035985605758</v>
      </c>
      <c r="F69" s="50">
        <v>24956</v>
      </c>
      <c r="G69" s="50">
        <v>31723</v>
      </c>
      <c r="H69" s="50">
        <f t="shared" si="47"/>
        <v>6994</v>
      </c>
      <c r="I69" s="50">
        <f>31750+200</f>
        <v>31950</v>
      </c>
      <c r="J69" s="166" t="s">
        <v>170</v>
      </c>
      <c r="K69" s="50">
        <v>300</v>
      </c>
      <c r="L69" s="50">
        <v>820</v>
      </c>
      <c r="M69" s="39">
        <v>812</v>
      </c>
      <c r="N69" s="155">
        <f t="shared" si="49"/>
        <v>0.990243902439024</v>
      </c>
      <c r="O69" s="50">
        <f t="shared" si="44"/>
        <v>0</v>
      </c>
      <c r="P69" s="50"/>
      <c r="Q69" s="50">
        <f t="shared" si="50"/>
        <v>0</v>
      </c>
      <c r="R69" s="102"/>
      <c r="S69" s="102"/>
      <c r="T69" s="102"/>
      <c r="U69" s="167" t="s">
        <v>179</v>
      </c>
      <c r="V69" s="50">
        <f>V5+V23+V36+V37+V47+V50+V62+V64+V65+V66+V67+V68</f>
        <v>158225</v>
      </c>
      <c r="W69" s="50">
        <v>228331</v>
      </c>
      <c r="X69" s="50">
        <f>X5+X23+X36+X37+X47+X50+X62+X64+X65+X66+X67+X68</f>
        <v>228226</v>
      </c>
      <c r="Y69" s="155">
        <f t="shared" si="48"/>
        <v>0.999540141286115</v>
      </c>
      <c r="Z69" s="50">
        <v>259238</v>
      </c>
      <c r="AA69" s="50">
        <v>81489</v>
      </c>
      <c r="AB69" s="50">
        <v>177749</v>
      </c>
      <c r="AC69" s="155">
        <f>(Z69-X69)/X69</f>
        <v>0.135882852961538</v>
      </c>
      <c r="AD69" s="82">
        <f>AD5+AD23+AD36+AD37+AD47+AD50+AD62+AD63+AD64+AD65+AD66+AD67+AD68</f>
        <v>248589</v>
      </c>
      <c r="AE69" s="82">
        <f>AE5+AE23+AE36+AE37+AE47+AE50+AE62+AE63+AE64+AE65+AE66+AE67+AE68</f>
        <v>16375</v>
      </c>
      <c r="AF69" s="82">
        <f t="shared" si="42"/>
        <v>275613</v>
      </c>
      <c r="AG69" s="82">
        <v>81489</v>
      </c>
      <c r="AH69" s="82">
        <f t="shared" si="30"/>
        <v>194124</v>
      </c>
      <c r="AJ69" s="116">
        <v>31978</v>
      </c>
      <c r="AK69" s="116">
        <f t="shared" si="46"/>
        <v>-28</v>
      </c>
    </row>
    <row r="70" ht="20" customHeight="1" spans="1:37">
      <c r="A70" s="52" t="s">
        <v>180</v>
      </c>
      <c r="B70" s="50">
        <v>4000</v>
      </c>
      <c r="C70" s="50">
        <v>3370</v>
      </c>
      <c r="D70" s="50">
        <v>3366</v>
      </c>
      <c r="E70" s="148">
        <f t="shared" si="43"/>
        <v>0.998813056379822</v>
      </c>
      <c r="F70" s="50">
        <v>3250</v>
      </c>
      <c r="G70" s="50">
        <v>6836</v>
      </c>
      <c r="H70" s="50">
        <f t="shared" si="47"/>
        <v>3600</v>
      </c>
      <c r="I70" s="50">
        <v>6850</v>
      </c>
      <c r="J70" s="166" t="s">
        <v>172</v>
      </c>
      <c r="K70" s="50">
        <v>2800</v>
      </c>
      <c r="L70" s="50">
        <v>5594</v>
      </c>
      <c r="M70" s="39">
        <v>5595</v>
      </c>
      <c r="N70" s="155">
        <f t="shared" si="49"/>
        <v>1.00017876296031</v>
      </c>
      <c r="O70" s="50">
        <f t="shared" si="44"/>
        <v>0</v>
      </c>
      <c r="P70" s="50"/>
      <c r="Q70" s="50">
        <f t="shared" si="50"/>
        <v>0</v>
      </c>
      <c r="R70" s="102"/>
      <c r="S70" s="102"/>
      <c r="T70" s="102"/>
      <c r="U70" s="131" t="s">
        <v>181</v>
      </c>
      <c r="V70" s="50">
        <v>165615</v>
      </c>
      <c r="W70" s="50">
        <f t="shared" ref="W70:Z70" si="51">W71</f>
        <v>174825</v>
      </c>
      <c r="X70" s="50">
        <f t="shared" si="51"/>
        <v>-4640</v>
      </c>
      <c r="Y70" s="155">
        <f t="shared" si="48"/>
        <v>-0.0265408265408265</v>
      </c>
      <c r="Z70" s="50">
        <v>174872</v>
      </c>
      <c r="AA70" s="50"/>
      <c r="AB70" s="50"/>
      <c r="AC70" s="50"/>
      <c r="AD70" s="82">
        <f>AD71</f>
        <v>171783</v>
      </c>
      <c r="AE70" s="82">
        <f>AE71</f>
        <v>17673</v>
      </c>
      <c r="AF70" s="82">
        <f>AF71</f>
        <v>192545</v>
      </c>
      <c r="AG70" s="82"/>
      <c r="AH70" s="82"/>
      <c r="AJ70" s="116">
        <v>6846</v>
      </c>
      <c r="AK70" s="116">
        <f t="shared" si="46"/>
        <v>4</v>
      </c>
    </row>
    <row r="71" ht="20" customHeight="1" spans="1:37">
      <c r="A71" s="52" t="s">
        <v>182</v>
      </c>
      <c r="B71" s="50"/>
      <c r="C71" s="50">
        <v>10970</v>
      </c>
      <c r="D71" s="50">
        <v>10970</v>
      </c>
      <c r="E71" s="148">
        <f t="shared" si="43"/>
        <v>1</v>
      </c>
      <c r="F71" s="50">
        <v>10500</v>
      </c>
      <c r="G71" s="50">
        <v>5454</v>
      </c>
      <c r="H71" s="50">
        <f t="shared" si="47"/>
        <v>-5050</v>
      </c>
      <c r="I71" s="50">
        <f>5500-50</f>
        <v>5450</v>
      </c>
      <c r="J71" s="166" t="s">
        <v>174</v>
      </c>
      <c r="K71" s="50">
        <v>3235</v>
      </c>
      <c r="L71" s="50">
        <v>6550</v>
      </c>
      <c r="M71" s="39">
        <v>6550</v>
      </c>
      <c r="N71" s="155">
        <f t="shared" si="49"/>
        <v>1</v>
      </c>
      <c r="O71" s="50">
        <f t="shared" si="44"/>
        <v>0</v>
      </c>
      <c r="P71" s="50"/>
      <c r="Q71" s="50">
        <f t="shared" si="50"/>
        <v>0</v>
      </c>
      <c r="R71" s="102"/>
      <c r="S71" s="102"/>
      <c r="T71" s="102"/>
      <c r="U71" s="131" t="s">
        <v>183</v>
      </c>
      <c r="V71" s="147">
        <v>165615</v>
      </c>
      <c r="W71" s="147">
        <v>174825</v>
      </c>
      <c r="X71" s="82">
        <f>R11-4640</f>
        <v>-4640</v>
      </c>
      <c r="Y71" s="155">
        <f t="shared" si="48"/>
        <v>-0.0265408265408265</v>
      </c>
      <c r="Z71" s="147">
        <v>174872</v>
      </c>
      <c r="AA71" s="147"/>
      <c r="AB71" s="147"/>
      <c r="AC71" s="147"/>
      <c r="AD71" s="82">
        <f>191227-19444</f>
        <v>171783</v>
      </c>
      <c r="AE71" s="82">
        <f>17801-128</f>
        <v>17673</v>
      </c>
      <c r="AF71" s="82">
        <f>Z71+AE71</f>
        <v>192545</v>
      </c>
      <c r="AG71" s="82"/>
      <c r="AH71" s="82"/>
      <c r="AJ71" s="116">
        <v>5454</v>
      </c>
      <c r="AK71" s="116">
        <f t="shared" si="46"/>
        <v>-4</v>
      </c>
    </row>
    <row r="72" ht="20" customHeight="1" spans="1:37">
      <c r="A72" s="52" t="s">
        <v>184</v>
      </c>
      <c r="B72" s="50">
        <v>65000</v>
      </c>
      <c r="C72" s="50">
        <v>70010</v>
      </c>
      <c r="D72" s="50">
        <v>69818</v>
      </c>
      <c r="E72" s="148">
        <f t="shared" ref="E72:E90" si="52">D72/C72</f>
        <v>0.997257534637909</v>
      </c>
      <c r="F72" s="50">
        <v>69972</v>
      </c>
      <c r="G72" s="50">
        <v>77916</v>
      </c>
      <c r="H72" s="50">
        <f t="shared" si="47"/>
        <v>8078</v>
      </c>
      <c r="I72" s="50">
        <f>79000-500-450</f>
        <v>78050</v>
      </c>
      <c r="J72" s="166" t="s">
        <v>185</v>
      </c>
      <c r="K72" s="50">
        <v>0</v>
      </c>
      <c r="L72" s="50">
        <v>132</v>
      </c>
      <c r="M72" s="39">
        <f>132+2</f>
        <v>134</v>
      </c>
      <c r="N72" s="155">
        <f t="shared" si="49"/>
        <v>1.01515151515152</v>
      </c>
      <c r="O72" s="50">
        <f t="shared" si="44"/>
        <v>0</v>
      </c>
      <c r="P72" s="50"/>
      <c r="Q72" s="50">
        <f t="shared" si="50"/>
        <v>0</v>
      </c>
      <c r="R72" s="102"/>
      <c r="S72" s="102"/>
      <c r="T72" s="102"/>
      <c r="U72" s="131" t="s">
        <v>186</v>
      </c>
      <c r="V72" s="147"/>
      <c r="W72" s="147"/>
      <c r="X72" s="82"/>
      <c r="Y72" s="155"/>
      <c r="Z72" s="147"/>
      <c r="AA72" s="147"/>
      <c r="AB72" s="147"/>
      <c r="AC72" s="147"/>
      <c r="AD72" s="82"/>
      <c r="AE72" s="82"/>
      <c r="AF72" s="82">
        <f>SUM(AG72:AH72)</f>
        <v>0</v>
      </c>
      <c r="AG72" s="82"/>
      <c r="AH72" s="82">
        <f>AB72+AE72</f>
        <v>0</v>
      </c>
      <c r="AJ72" s="116">
        <v>78567</v>
      </c>
      <c r="AK72" s="116">
        <f t="shared" si="46"/>
        <v>-517</v>
      </c>
    </row>
    <row r="73" ht="20" customHeight="1" spans="1:37">
      <c r="A73" s="52" t="s">
        <v>187</v>
      </c>
      <c r="B73" s="50">
        <v>20000</v>
      </c>
      <c r="C73" s="50">
        <v>11940</v>
      </c>
      <c r="D73" s="50">
        <v>11936</v>
      </c>
      <c r="E73" s="148">
        <f t="shared" si="52"/>
        <v>0.999664991624791</v>
      </c>
      <c r="F73" s="50">
        <v>11310</v>
      </c>
      <c r="G73" s="50">
        <v>9511</v>
      </c>
      <c r="H73" s="50">
        <f t="shared" si="47"/>
        <v>-1710</v>
      </c>
      <c r="I73" s="50">
        <v>9600</v>
      </c>
      <c r="J73" s="167" t="s">
        <v>179</v>
      </c>
      <c r="K73" s="50">
        <f t="shared" ref="K73:P73" si="53">K5+K24+K37+K38+K50+K53+K66+K68+K69+K70+K71+K72</f>
        <v>158225</v>
      </c>
      <c r="L73" s="50">
        <v>228331</v>
      </c>
      <c r="M73" s="50">
        <f t="shared" si="53"/>
        <v>228226</v>
      </c>
      <c r="N73" s="155">
        <f t="shared" si="49"/>
        <v>0.999540141286115</v>
      </c>
      <c r="O73" s="50">
        <f t="shared" si="44"/>
        <v>81969</v>
      </c>
      <c r="P73" s="50">
        <f t="shared" si="53"/>
        <v>81489</v>
      </c>
      <c r="Q73" s="50">
        <f>Q5+Q24+Q37+Q38+Q50+Q53+Q66+Q67+Q68+Q69+Q70+Q71+Q72</f>
        <v>480</v>
      </c>
      <c r="R73" s="102"/>
      <c r="S73" s="102"/>
      <c r="T73" s="102"/>
      <c r="U73" s="102"/>
      <c r="V73" s="102"/>
      <c r="W73" s="102"/>
      <c r="X73" s="102"/>
      <c r="Y73" s="102"/>
      <c r="Z73" s="102"/>
      <c r="AA73" s="102"/>
      <c r="AB73" s="102"/>
      <c r="AC73" s="102"/>
      <c r="AD73" s="102"/>
      <c r="AE73" s="102"/>
      <c r="AF73" s="102"/>
      <c r="AG73" s="102"/>
      <c r="AH73" s="102"/>
      <c r="AJ73" s="116">
        <v>9591</v>
      </c>
      <c r="AK73" s="116">
        <f t="shared" si="46"/>
        <v>9</v>
      </c>
    </row>
    <row r="74" ht="20" customHeight="1" spans="1:37">
      <c r="A74" s="52" t="s">
        <v>188</v>
      </c>
      <c r="B74" s="50">
        <v>800</v>
      </c>
      <c r="C74" s="50">
        <v>1020</v>
      </c>
      <c r="D74" s="50">
        <v>1021</v>
      </c>
      <c r="E74" s="148">
        <f t="shared" si="52"/>
        <v>1.00098039215686</v>
      </c>
      <c r="F74" s="50">
        <v>1000</v>
      </c>
      <c r="G74" s="50">
        <v>677</v>
      </c>
      <c r="H74" s="50">
        <f t="shared" si="47"/>
        <v>-200</v>
      </c>
      <c r="I74" s="50">
        <f>700+100</f>
        <v>800</v>
      </c>
      <c r="J74" s="131" t="s">
        <v>181</v>
      </c>
      <c r="K74" s="50">
        <v>165615</v>
      </c>
      <c r="L74" s="50">
        <f t="shared" ref="L74:O74" si="54">L75</f>
        <v>174825</v>
      </c>
      <c r="M74" s="50" t="e">
        <f t="shared" si="54"/>
        <v>#REF!</v>
      </c>
      <c r="N74" s="155" t="e">
        <f t="shared" si="49"/>
        <v>#REF!</v>
      </c>
      <c r="O74" s="50" t="e">
        <f t="shared" si="54"/>
        <v>#REF!</v>
      </c>
      <c r="P74" s="50"/>
      <c r="Q74" s="50"/>
      <c r="R74" s="102"/>
      <c r="S74" s="102"/>
      <c r="T74" s="102"/>
      <c r="U74" s="102"/>
      <c r="V74" s="102"/>
      <c r="W74" s="102"/>
      <c r="X74" s="102"/>
      <c r="Y74" s="102"/>
      <c r="Z74" s="102"/>
      <c r="AA74" s="102"/>
      <c r="AB74" s="102"/>
      <c r="AC74" s="102"/>
      <c r="AD74" s="102"/>
      <c r="AE74" s="102"/>
      <c r="AF74" s="102"/>
      <c r="AG74" s="102"/>
      <c r="AH74" s="102"/>
      <c r="AJ74" s="116">
        <v>787</v>
      </c>
      <c r="AK74" s="116">
        <f t="shared" si="46"/>
        <v>13</v>
      </c>
    </row>
    <row r="75" ht="20" customHeight="1" spans="1:37">
      <c r="A75" s="52" t="s">
        <v>189</v>
      </c>
      <c r="B75" s="50"/>
      <c r="C75" s="50">
        <v>30</v>
      </c>
      <c r="D75" s="50">
        <v>46</v>
      </c>
      <c r="E75" s="148">
        <f t="shared" si="52"/>
        <v>1.53333333333333</v>
      </c>
      <c r="F75" s="50">
        <v>0</v>
      </c>
      <c r="G75" s="50">
        <v>168</v>
      </c>
      <c r="H75" s="50">
        <f t="shared" si="47"/>
        <v>170</v>
      </c>
      <c r="I75" s="50">
        <v>170</v>
      </c>
      <c r="J75" s="131" t="s">
        <v>183</v>
      </c>
      <c r="K75" s="147">
        <v>165615</v>
      </c>
      <c r="L75" s="147">
        <v>174825</v>
      </c>
      <c r="M75" s="82" t="e">
        <f>#REF!-4640</f>
        <v>#REF!</v>
      </c>
      <c r="N75" s="155" t="e">
        <f t="shared" si="49"/>
        <v>#REF!</v>
      </c>
      <c r="O75" s="147" t="e">
        <f>#REF!-3600</f>
        <v>#REF!</v>
      </c>
      <c r="P75" s="147"/>
      <c r="Q75" s="147"/>
      <c r="R75" s="102"/>
      <c r="S75" s="102"/>
      <c r="T75" s="102"/>
      <c r="U75" s="102"/>
      <c r="V75" s="102"/>
      <c r="W75" s="102"/>
      <c r="X75" s="102"/>
      <c r="Y75" s="102"/>
      <c r="Z75" s="170"/>
      <c r="AA75" s="170"/>
      <c r="AB75" s="170"/>
      <c r="AC75" s="170"/>
      <c r="AD75" s="82"/>
      <c r="AE75" s="82"/>
      <c r="AF75" s="82">
        <f t="shared" ref="AF72:AF98" si="55">SUM(AG75:AH75)</f>
        <v>0</v>
      </c>
      <c r="AG75" s="82"/>
      <c r="AH75" s="82">
        <f t="shared" ref="AH71:AH87" si="56">AB75+AE75</f>
        <v>0</v>
      </c>
      <c r="AJ75" s="116">
        <v>168</v>
      </c>
      <c r="AK75" s="116">
        <f t="shared" si="46"/>
        <v>2</v>
      </c>
    </row>
    <row r="76" ht="20" customHeight="1" spans="1:37">
      <c r="A76" s="52" t="s">
        <v>190</v>
      </c>
      <c r="B76" s="50"/>
      <c r="C76" s="50"/>
      <c r="D76" s="50">
        <v>0</v>
      </c>
      <c r="E76" s="148"/>
      <c r="F76" s="50">
        <v>0</v>
      </c>
      <c r="G76" s="50">
        <v>20</v>
      </c>
      <c r="H76" s="50">
        <f t="shared" si="47"/>
        <v>20</v>
      </c>
      <c r="I76" s="50">
        <v>20</v>
      </c>
      <c r="J76" s="131" t="s">
        <v>186</v>
      </c>
      <c r="K76" s="147"/>
      <c r="L76" s="147"/>
      <c r="M76" s="82"/>
      <c r="N76" s="155"/>
      <c r="O76" s="147"/>
      <c r="P76" s="147"/>
      <c r="Q76" s="147"/>
      <c r="R76" s="102"/>
      <c r="S76" s="102"/>
      <c r="T76" s="102"/>
      <c r="U76" s="102"/>
      <c r="V76" s="102"/>
      <c r="W76" s="102"/>
      <c r="X76" s="102"/>
      <c r="Y76" s="102"/>
      <c r="Z76" s="170"/>
      <c r="AA76" s="170"/>
      <c r="AB76" s="170"/>
      <c r="AC76" s="170"/>
      <c r="AD76" s="82"/>
      <c r="AE76" s="82"/>
      <c r="AF76" s="82">
        <f t="shared" si="55"/>
        <v>0</v>
      </c>
      <c r="AG76" s="82"/>
      <c r="AH76" s="82">
        <f t="shared" si="56"/>
        <v>0</v>
      </c>
      <c r="AJ76" s="116">
        <v>20</v>
      </c>
      <c r="AK76" s="116">
        <f t="shared" si="46"/>
        <v>0</v>
      </c>
    </row>
    <row r="77" ht="20" customHeight="1" spans="1:37">
      <c r="A77" s="52" t="s">
        <v>191</v>
      </c>
      <c r="B77" s="50">
        <v>650</v>
      </c>
      <c r="C77" s="50">
        <v>515</v>
      </c>
      <c r="D77" s="50">
        <v>515</v>
      </c>
      <c r="E77" s="148">
        <f t="shared" si="52"/>
        <v>1</v>
      </c>
      <c r="F77" s="50">
        <v>500</v>
      </c>
      <c r="G77" s="50">
        <v>989</v>
      </c>
      <c r="H77" s="50">
        <f t="shared" si="47"/>
        <v>500</v>
      </c>
      <c r="I77" s="50">
        <v>1000</v>
      </c>
      <c r="J77" s="102"/>
      <c r="K77" s="102"/>
      <c r="L77" s="102"/>
      <c r="M77" s="102"/>
      <c r="N77" s="102"/>
      <c r="O77" s="102"/>
      <c r="P77" s="102"/>
      <c r="Q77" s="102"/>
      <c r="R77" s="102"/>
      <c r="S77" s="102"/>
      <c r="T77" s="102"/>
      <c r="U77" s="102"/>
      <c r="V77" s="102"/>
      <c r="W77" s="102"/>
      <c r="X77" s="102"/>
      <c r="Y77" s="102"/>
      <c r="Z77" s="170"/>
      <c r="AA77" s="170"/>
      <c r="AB77" s="170"/>
      <c r="AC77" s="170"/>
      <c r="AD77" s="82"/>
      <c r="AE77" s="82"/>
      <c r="AF77" s="82">
        <f t="shared" si="55"/>
        <v>0</v>
      </c>
      <c r="AG77" s="82"/>
      <c r="AH77" s="82">
        <f t="shared" si="56"/>
        <v>0</v>
      </c>
      <c r="AJ77" s="116">
        <v>989</v>
      </c>
      <c r="AK77" s="116">
        <f t="shared" si="46"/>
        <v>11</v>
      </c>
    </row>
    <row r="78" ht="20" customHeight="1" spans="1:37">
      <c r="A78" s="52" t="s">
        <v>192</v>
      </c>
      <c r="B78" s="50">
        <v>8500</v>
      </c>
      <c r="C78" s="50">
        <v>5483</v>
      </c>
      <c r="D78" s="50">
        <v>5483</v>
      </c>
      <c r="E78" s="148">
        <f t="shared" si="52"/>
        <v>1</v>
      </c>
      <c r="F78" s="50">
        <v>5494</v>
      </c>
      <c r="G78" s="50">
        <v>2443</v>
      </c>
      <c r="H78" s="50">
        <f t="shared" si="47"/>
        <v>-3044</v>
      </c>
      <c r="I78" s="50">
        <v>2450</v>
      </c>
      <c r="J78" s="102"/>
      <c r="K78" s="102"/>
      <c r="L78" s="102"/>
      <c r="M78" s="102"/>
      <c r="N78" s="102"/>
      <c r="O78" s="102"/>
      <c r="P78" s="102"/>
      <c r="Q78" s="102"/>
      <c r="R78" s="102"/>
      <c r="S78" s="102"/>
      <c r="T78" s="102"/>
      <c r="U78" s="102"/>
      <c r="V78" s="102"/>
      <c r="W78" s="102"/>
      <c r="X78" s="102"/>
      <c r="Y78" s="102"/>
      <c r="Z78" s="170"/>
      <c r="AA78" s="170"/>
      <c r="AB78" s="170"/>
      <c r="AC78" s="170"/>
      <c r="AD78" s="82"/>
      <c r="AE78" s="82"/>
      <c r="AF78" s="82">
        <f t="shared" si="55"/>
        <v>0</v>
      </c>
      <c r="AG78" s="82"/>
      <c r="AH78" s="82">
        <f t="shared" si="56"/>
        <v>0</v>
      </c>
      <c r="AJ78" s="116">
        <v>2443</v>
      </c>
      <c r="AK78" s="116">
        <f t="shared" si="46"/>
        <v>7</v>
      </c>
    </row>
    <row r="79" ht="20" customHeight="1" spans="1:37">
      <c r="A79" s="52" t="s">
        <v>193</v>
      </c>
      <c r="B79" s="50"/>
      <c r="C79" s="50"/>
      <c r="D79" s="50">
        <v>0</v>
      </c>
      <c r="E79" s="148"/>
      <c r="F79" s="50">
        <v>0</v>
      </c>
      <c r="G79" s="50">
        <v>1300</v>
      </c>
      <c r="H79" s="50">
        <f t="shared" si="47"/>
        <v>1300</v>
      </c>
      <c r="I79" s="50">
        <f>1300</f>
        <v>1300</v>
      </c>
      <c r="J79" s="102"/>
      <c r="K79" s="102"/>
      <c r="L79" s="102"/>
      <c r="M79" s="102"/>
      <c r="N79" s="102"/>
      <c r="O79" s="102"/>
      <c r="P79" s="102"/>
      <c r="Q79" s="102"/>
      <c r="R79" s="102"/>
      <c r="S79" s="102"/>
      <c r="T79" s="102"/>
      <c r="U79" s="102"/>
      <c r="V79" s="102"/>
      <c r="W79" s="102"/>
      <c r="X79" s="102"/>
      <c r="Y79" s="102"/>
      <c r="Z79" s="170"/>
      <c r="AA79" s="170"/>
      <c r="AB79" s="170"/>
      <c r="AC79" s="170"/>
      <c r="AD79" s="82"/>
      <c r="AE79" s="82"/>
      <c r="AF79" s="82">
        <f t="shared" si="55"/>
        <v>0</v>
      </c>
      <c r="AG79" s="82"/>
      <c r="AH79" s="82">
        <f t="shared" si="56"/>
        <v>0</v>
      </c>
      <c r="AJ79" s="116">
        <v>1300</v>
      </c>
      <c r="AK79" s="116">
        <f t="shared" si="46"/>
        <v>0</v>
      </c>
    </row>
    <row r="80" ht="20" customHeight="1" spans="1:37">
      <c r="A80" s="52" t="s">
        <v>194</v>
      </c>
      <c r="B80" s="50"/>
      <c r="C80" s="50">
        <v>1494</v>
      </c>
      <c r="D80" s="50">
        <v>1947</v>
      </c>
      <c r="E80" s="148">
        <f t="shared" si="52"/>
        <v>1.30321285140562</v>
      </c>
      <c r="F80" s="50">
        <v>1500</v>
      </c>
      <c r="G80" s="50">
        <v>935</v>
      </c>
      <c r="H80" s="50">
        <f t="shared" si="47"/>
        <v>-150</v>
      </c>
      <c r="I80" s="50">
        <f>950+400</f>
        <v>1350</v>
      </c>
      <c r="J80" s="102"/>
      <c r="K80" s="102"/>
      <c r="L80" s="102"/>
      <c r="M80" s="102"/>
      <c r="N80" s="102"/>
      <c r="O80" s="102"/>
      <c r="P80" s="102"/>
      <c r="Q80" s="102"/>
      <c r="R80" s="102"/>
      <c r="S80" s="102"/>
      <c r="T80" s="102"/>
      <c r="U80" s="102"/>
      <c r="V80" s="102"/>
      <c r="W80" s="102"/>
      <c r="X80" s="102"/>
      <c r="Y80" s="102"/>
      <c r="Z80" s="170"/>
      <c r="AA80" s="170"/>
      <c r="AB80" s="170"/>
      <c r="AC80" s="170"/>
      <c r="AD80" s="82"/>
      <c r="AE80" s="82"/>
      <c r="AF80" s="82">
        <f t="shared" si="55"/>
        <v>0</v>
      </c>
      <c r="AG80" s="82"/>
      <c r="AH80" s="82">
        <f t="shared" si="56"/>
        <v>0</v>
      </c>
      <c r="AJ80" s="116">
        <v>1351</v>
      </c>
      <c r="AK80" s="116">
        <f t="shared" si="46"/>
        <v>-1</v>
      </c>
    </row>
    <row r="81" ht="20" customHeight="1" spans="1:37">
      <c r="A81" s="52" t="s">
        <v>195</v>
      </c>
      <c r="B81" s="50">
        <v>3500</v>
      </c>
      <c r="C81" s="50">
        <f>2220+843</f>
        <v>3063</v>
      </c>
      <c r="D81" s="50">
        <v>3580</v>
      </c>
      <c r="E81" s="148">
        <f t="shared" si="52"/>
        <v>1.16878876918054</v>
      </c>
      <c r="F81" s="50">
        <v>3599</v>
      </c>
      <c r="G81" s="50">
        <v>4510</v>
      </c>
      <c r="H81" s="50">
        <f t="shared" si="47"/>
        <v>951</v>
      </c>
      <c r="I81" s="50">
        <f>4600-50</f>
        <v>4550</v>
      </c>
      <c r="J81" s="102"/>
      <c r="K81" s="102"/>
      <c r="L81" s="102"/>
      <c r="M81" s="102"/>
      <c r="N81" s="102"/>
      <c r="O81" s="102"/>
      <c r="P81" s="102"/>
      <c r="Q81" s="102"/>
      <c r="R81" s="102"/>
      <c r="S81" s="102"/>
      <c r="T81" s="102"/>
      <c r="U81" s="102"/>
      <c r="V81" s="102"/>
      <c r="W81" s="102"/>
      <c r="X81" s="102"/>
      <c r="Y81" s="102"/>
      <c r="Z81" s="170"/>
      <c r="AA81" s="170"/>
      <c r="AB81" s="170"/>
      <c r="AC81" s="170"/>
      <c r="AD81" s="82"/>
      <c r="AE81" s="82"/>
      <c r="AF81" s="82">
        <f t="shared" si="55"/>
        <v>0</v>
      </c>
      <c r="AG81" s="82"/>
      <c r="AH81" s="82">
        <f t="shared" si="56"/>
        <v>0</v>
      </c>
      <c r="AJ81" s="116">
        <v>4510</v>
      </c>
      <c r="AK81" s="116">
        <f t="shared" si="46"/>
        <v>40</v>
      </c>
    </row>
    <row r="82" ht="20" customHeight="1" spans="1:34">
      <c r="A82" s="127" t="s">
        <v>196</v>
      </c>
      <c r="B82" s="50">
        <v>1600</v>
      </c>
      <c r="C82" s="50">
        <v>2375</v>
      </c>
      <c r="D82" s="50">
        <v>2375</v>
      </c>
      <c r="E82" s="148">
        <f t="shared" si="52"/>
        <v>1</v>
      </c>
      <c r="F82" s="50">
        <v>711</v>
      </c>
      <c r="G82" s="50"/>
      <c r="H82" s="50">
        <v>86</v>
      </c>
      <c r="I82" s="50">
        <v>797</v>
      </c>
      <c r="J82" s="102"/>
      <c r="K82" s="102"/>
      <c r="L82" s="102"/>
      <c r="M82" s="102"/>
      <c r="N82" s="102"/>
      <c r="O82" s="102"/>
      <c r="P82" s="102"/>
      <c r="Q82" s="102"/>
      <c r="R82" s="102"/>
      <c r="S82" s="102"/>
      <c r="T82" s="102"/>
      <c r="U82" s="102"/>
      <c r="V82" s="102"/>
      <c r="W82" s="102"/>
      <c r="X82" s="102"/>
      <c r="Y82" s="102"/>
      <c r="Z82" s="170"/>
      <c r="AA82" s="170"/>
      <c r="AB82" s="170"/>
      <c r="AC82" s="170"/>
      <c r="AD82" s="82"/>
      <c r="AE82" s="82"/>
      <c r="AF82" s="82">
        <f t="shared" si="55"/>
        <v>0</v>
      </c>
      <c r="AG82" s="82"/>
      <c r="AH82" s="82">
        <f t="shared" si="56"/>
        <v>0</v>
      </c>
    </row>
    <row r="83" ht="20" customHeight="1" spans="1:34">
      <c r="A83" s="100" t="s">
        <v>197</v>
      </c>
      <c r="B83" s="108">
        <v>11862</v>
      </c>
      <c r="C83" s="108">
        <f>C84+C85+C88</f>
        <v>4212</v>
      </c>
      <c r="D83" s="108">
        <f>D84+D85+D88</f>
        <v>4212</v>
      </c>
      <c r="E83" s="148">
        <f t="shared" si="52"/>
        <v>1</v>
      </c>
      <c r="F83" s="108">
        <f>SUM(F84:F88)</f>
        <v>8040</v>
      </c>
      <c r="G83" s="108">
        <f>SUM(G84:G88)</f>
        <v>9483</v>
      </c>
      <c r="H83" s="108">
        <f>SUM(H84:H88)</f>
        <v>6211</v>
      </c>
      <c r="I83" s="108">
        <f>SUM(I84:I88)</f>
        <v>14251</v>
      </c>
      <c r="J83" s="102"/>
      <c r="K83" s="102"/>
      <c r="L83" s="102"/>
      <c r="M83" s="102"/>
      <c r="N83" s="102"/>
      <c r="O83" s="102"/>
      <c r="P83" s="102"/>
      <c r="Q83" s="102"/>
      <c r="R83" s="102"/>
      <c r="S83" s="102"/>
      <c r="T83" s="102"/>
      <c r="U83" s="102"/>
      <c r="V83" s="102"/>
      <c r="W83" s="102"/>
      <c r="X83" s="102"/>
      <c r="Y83" s="102"/>
      <c r="Z83" s="170"/>
      <c r="AA83" s="170"/>
      <c r="AB83" s="170"/>
      <c r="AC83" s="170"/>
      <c r="AD83" s="82"/>
      <c r="AE83" s="82"/>
      <c r="AF83" s="82">
        <f t="shared" si="55"/>
        <v>0</v>
      </c>
      <c r="AG83" s="82"/>
      <c r="AH83" s="82">
        <f t="shared" si="56"/>
        <v>0</v>
      </c>
    </row>
    <row r="84" ht="20" customHeight="1" spans="1:34">
      <c r="A84" s="100" t="s">
        <v>198</v>
      </c>
      <c r="B84" s="50">
        <v>942</v>
      </c>
      <c r="C84" s="50">
        <v>942</v>
      </c>
      <c r="D84" s="50">
        <v>942</v>
      </c>
      <c r="E84" s="148">
        <f t="shared" si="52"/>
        <v>1</v>
      </c>
      <c r="F84" s="50"/>
      <c r="G84" s="50"/>
      <c r="H84" s="50"/>
      <c r="I84" s="50">
        <f>F84+H84</f>
        <v>0</v>
      </c>
      <c r="J84" s="102"/>
      <c r="K84" s="102"/>
      <c r="L84" s="102"/>
      <c r="M84" s="102"/>
      <c r="N84" s="102"/>
      <c r="O84" s="102"/>
      <c r="P84" s="102"/>
      <c r="Q84" s="102"/>
      <c r="R84" s="102"/>
      <c r="S84" s="102"/>
      <c r="T84" s="102"/>
      <c r="U84" s="102"/>
      <c r="V84" s="102"/>
      <c r="W84" s="102"/>
      <c r="X84" s="102"/>
      <c r="Y84" s="102"/>
      <c r="Z84" s="170"/>
      <c r="AA84" s="170"/>
      <c r="AB84" s="170"/>
      <c r="AC84" s="170"/>
      <c r="AD84" s="82"/>
      <c r="AE84" s="82"/>
      <c r="AF84" s="82">
        <f t="shared" si="55"/>
        <v>0</v>
      </c>
      <c r="AG84" s="82"/>
      <c r="AH84" s="82">
        <f t="shared" si="56"/>
        <v>0</v>
      </c>
    </row>
    <row r="85" ht="20" customHeight="1" spans="1:34">
      <c r="A85" s="49" t="s">
        <v>199</v>
      </c>
      <c r="B85" s="50">
        <v>6000</v>
      </c>
      <c r="C85" s="50"/>
      <c r="D85" s="50"/>
      <c r="E85" s="148"/>
      <c r="F85" s="50"/>
      <c r="G85" s="50"/>
      <c r="H85" s="50"/>
      <c r="I85" s="50">
        <f>F85+H85</f>
        <v>0</v>
      </c>
      <c r="J85" s="102"/>
      <c r="K85" s="102"/>
      <c r="L85" s="102"/>
      <c r="M85" s="102"/>
      <c r="N85" s="102"/>
      <c r="O85" s="102"/>
      <c r="P85" s="102"/>
      <c r="Q85" s="102"/>
      <c r="R85" s="102"/>
      <c r="S85" s="102"/>
      <c r="T85" s="102"/>
      <c r="U85" s="102"/>
      <c r="V85" s="102"/>
      <c r="W85" s="102"/>
      <c r="X85" s="102"/>
      <c r="Y85" s="102"/>
      <c r="Z85" s="170"/>
      <c r="AA85" s="170"/>
      <c r="AB85" s="170"/>
      <c r="AC85" s="170"/>
      <c r="AD85" s="82"/>
      <c r="AE85" s="82"/>
      <c r="AF85" s="82">
        <f t="shared" si="55"/>
        <v>0</v>
      </c>
      <c r="AG85" s="82"/>
      <c r="AH85" s="82">
        <f t="shared" si="56"/>
        <v>0</v>
      </c>
    </row>
    <row r="86" ht="20" customHeight="1" spans="1:34">
      <c r="A86" s="49" t="s">
        <v>200</v>
      </c>
      <c r="B86" s="50"/>
      <c r="C86" s="50"/>
      <c r="D86" s="50"/>
      <c r="E86" s="148"/>
      <c r="F86" s="50"/>
      <c r="G86" s="50">
        <v>1443</v>
      </c>
      <c r="H86" s="50">
        <v>1443</v>
      </c>
      <c r="I86" s="50">
        <f>F86+H86</f>
        <v>1443</v>
      </c>
      <c r="J86" s="102"/>
      <c r="K86" s="102"/>
      <c r="L86" s="102"/>
      <c r="M86" s="102"/>
      <c r="N86" s="102"/>
      <c r="O86" s="102"/>
      <c r="P86" s="102"/>
      <c r="Q86" s="102"/>
      <c r="R86" s="102"/>
      <c r="S86" s="102"/>
      <c r="T86" s="102"/>
      <c r="U86" s="102"/>
      <c r="V86" s="102"/>
      <c r="W86" s="102"/>
      <c r="X86" s="102"/>
      <c r="Y86" s="102"/>
      <c r="Z86" s="170"/>
      <c r="AA86" s="170"/>
      <c r="AB86" s="170"/>
      <c r="AC86" s="170"/>
      <c r="AD86" s="82"/>
      <c r="AE86" s="82"/>
      <c r="AF86" s="82">
        <f t="shared" si="55"/>
        <v>0</v>
      </c>
      <c r="AG86" s="82"/>
      <c r="AH86" s="82">
        <f t="shared" si="56"/>
        <v>0</v>
      </c>
    </row>
    <row r="87" ht="20" customHeight="1" spans="1:34">
      <c r="A87" s="49" t="s">
        <v>201</v>
      </c>
      <c r="B87" s="50"/>
      <c r="C87" s="50"/>
      <c r="D87" s="50"/>
      <c r="E87" s="148"/>
      <c r="F87" s="50"/>
      <c r="G87" s="50"/>
      <c r="H87" s="50">
        <v>208</v>
      </c>
      <c r="I87" s="50">
        <f>F87+H87</f>
        <v>208</v>
      </c>
      <c r="J87" s="102"/>
      <c r="K87" s="102"/>
      <c r="L87" s="102"/>
      <c r="M87" s="102"/>
      <c r="N87" s="102"/>
      <c r="O87" s="102"/>
      <c r="P87" s="102"/>
      <c r="Q87" s="102"/>
      <c r="R87" s="102"/>
      <c r="S87" s="102"/>
      <c r="T87" s="102"/>
      <c r="U87" s="102"/>
      <c r="V87" s="102"/>
      <c r="W87" s="102"/>
      <c r="X87" s="102"/>
      <c r="Y87" s="102"/>
      <c r="Z87" s="170"/>
      <c r="AA87" s="170"/>
      <c r="AB87" s="170"/>
      <c r="AC87" s="170"/>
      <c r="AD87" s="82"/>
      <c r="AE87" s="82"/>
      <c r="AF87" s="82"/>
      <c r="AG87" s="82"/>
      <c r="AH87" s="82"/>
    </row>
    <row r="88" ht="20" customHeight="1" spans="1:34">
      <c r="A88" s="49" t="s">
        <v>202</v>
      </c>
      <c r="B88" s="50">
        <v>4920</v>
      </c>
      <c r="C88" s="50">
        <v>3270</v>
      </c>
      <c r="D88" s="50">
        <v>3270</v>
      </c>
      <c r="E88" s="148">
        <f>D88/C88</f>
        <v>1</v>
      </c>
      <c r="F88" s="50">
        <f>7880+200-300+20-30+300+370-400</f>
        <v>8040</v>
      </c>
      <c r="G88" s="50">
        <v>8040</v>
      </c>
      <c r="H88" s="50">
        <f>6200-2200+560</f>
        <v>4560</v>
      </c>
      <c r="I88" s="50">
        <f>F88+H88</f>
        <v>12600</v>
      </c>
      <c r="J88" s="102"/>
      <c r="K88" s="102"/>
      <c r="L88" s="102"/>
      <c r="M88" s="102"/>
      <c r="N88" s="102"/>
      <c r="O88" s="102"/>
      <c r="P88" s="102"/>
      <c r="Q88" s="102"/>
      <c r="R88" s="102"/>
      <c r="S88" s="102"/>
      <c r="T88" s="102"/>
      <c r="U88" s="102"/>
      <c r="V88" s="102"/>
      <c r="W88" s="102"/>
      <c r="X88" s="102"/>
      <c r="Y88" s="102"/>
      <c r="Z88" s="170"/>
      <c r="AA88" s="170"/>
      <c r="AB88" s="170"/>
      <c r="AC88" s="170"/>
      <c r="AD88" s="82"/>
      <c r="AE88" s="82"/>
      <c r="AF88" s="82">
        <f>SUM(AG88:AH88)</f>
        <v>0</v>
      </c>
      <c r="AG88" s="82"/>
      <c r="AH88" s="82">
        <f>AB88+AE88</f>
        <v>0</v>
      </c>
    </row>
    <row r="89" ht="20" customHeight="1" spans="1:34">
      <c r="A89" s="49" t="s">
        <v>203</v>
      </c>
      <c r="B89" s="77">
        <v>55500</v>
      </c>
      <c r="C89" s="77">
        <f>C90+C91</f>
        <v>120449</v>
      </c>
      <c r="D89" s="77">
        <f>D90+D91</f>
        <v>120449</v>
      </c>
      <c r="E89" s="148">
        <f>D89/C89</f>
        <v>1</v>
      </c>
      <c r="F89" s="50">
        <f>F90+F91</f>
        <v>133813</v>
      </c>
      <c r="G89" s="50">
        <f>G90+G91</f>
        <v>133813</v>
      </c>
      <c r="H89" s="50">
        <f>H90+H91</f>
        <v>0</v>
      </c>
      <c r="I89" s="50">
        <f>SUM(I90:I91)</f>
        <v>133813</v>
      </c>
      <c r="J89" s="102"/>
      <c r="K89" s="102"/>
      <c r="L89" s="102"/>
      <c r="M89" s="102"/>
      <c r="N89" s="102"/>
      <c r="O89" s="102"/>
      <c r="P89" s="102"/>
      <c r="Q89" s="102"/>
      <c r="R89" s="102"/>
      <c r="S89" s="102"/>
      <c r="T89" s="102"/>
      <c r="U89" s="102"/>
      <c r="V89" s="102"/>
      <c r="W89" s="102"/>
      <c r="X89" s="102"/>
      <c r="Y89" s="102"/>
      <c r="Z89" s="170"/>
      <c r="AA89" s="170"/>
      <c r="AB89" s="170"/>
      <c r="AC89" s="170"/>
      <c r="AD89" s="82"/>
      <c r="AE89" s="82"/>
      <c r="AF89" s="82"/>
      <c r="AG89" s="82"/>
      <c r="AH89" s="82"/>
    </row>
    <row r="90" ht="20" customHeight="1" spans="1:34">
      <c r="A90" s="49" t="s">
        <v>204</v>
      </c>
      <c r="B90" s="162">
        <v>30000</v>
      </c>
      <c r="C90" s="77">
        <v>94949</v>
      </c>
      <c r="D90" s="77">
        <v>94949</v>
      </c>
      <c r="E90" s="148">
        <f>D90/C90</f>
        <v>1</v>
      </c>
      <c r="F90" s="50">
        <v>123763</v>
      </c>
      <c r="G90" s="50">
        <v>123763</v>
      </c>
      <c r="H90" s="50"/>
      <c r="I90" s="50">
        <v>123763</v>
      </c>
      <c r="J90" s="102"/>
      <c r="K90" s="102"/>
      <c r="L90" s="102"/>
      <c r="M90" s="102"/>
      <c r="N90" s="102"/>
      <c r="O90" s="102"/>
      <c r="P90" s="102"/>
      <c r="Q90" s="102"/>
      <c r="R90" s="102"/>
      <c r="S90" s="102"/>
      <c r="T90" s="102"/>
      <c r="U90" s="102"/>
      <c r="V90" s="102"/>
      <c r="W90" s="102"/>
      <c r="X90" s="102"/>
      <c r="Y90" s="102"/>
      <c r="Z90" s="170"/>
      <c r="AA90" s="170"/>
      <c r="AB90" s="170"/>
      <c r="AC90" s="170"/>
      <c r="AD90" s="82"/>
      <c r="AE90" s="82"/>
      <c r="AF90" s="82">
        <f>SUM(AG90:AH90)</f>
        <v>0</v>
      </c>
      <c r="AG90" s="82"/>
      <c r="AH90" s="82"/>
    </row>
    <row r="91" ht="20" customHeight="1" spans="1:34">
      <c r="A91" s="49" t="s">
        <v>205</v>
      </c>
      <c r="B91" s="162">
        <v>25500</v>
      </c>
      <c r="C91" s="77">
        <v>25500</v>
      </c>
      <c r="D91" s="77">
        <v>25500</v>
      </c>
      <c r="E91" s="148">
        <f>D91/C91</f>
        <v>1</v>
      </c>
      <c r="F91" s="50">
        <v>10050</v>
      </c>
      <c r="G91" s="50">
        <v>10050</v>
      </c>
      <c r="H91" s="50"/>
      <c r="I91" s="50">
        <v>10050</v>
      </c>
      <c r="J91" s="102"/>
      <c r="K91" s="102"/>
      <c r="L91" s="102"/>
      <c r="M91" s="102"/>
      <c r="N91" s="102"/>
      <c r="O91" s="102"/>
      <c r="P91" s="102"/>
      <c r="Q91" s="102"/>
      <c r="R91" s="102"/>
      <c r="S91" s="102"/>
      <c r="T91" s="102"/>
      <c r="U91" s="102"/>
      <c r="V91" s="102"/>
      <c r="W91" s="102"/>
      <c r="X91" s="102"/>
      <c r="Y91" s="102"/>
      <c r="Z91" s="170"/>
      <c r="AA91" s="170"/>
      <c r="AB91" s="170"/>
      <c r="AC91" s="170"/>
      <c r="AD91" s="82"/>
      <c r="AE91" s="82"/>
      <c r="AF91" s="82">
        <f>SUM(AG91:AH91)</f>
        <v>0</v>
      </c>
      <c r="AG91" s="82"/>
      <c r="AH91" s="82"/>
    </row>
    <row r="92" ht="20" customHeight="1" spans="1:34">
      <c r="A92" s="163" t="s">
        <v>206</v>
      </c>
      <c r="B92" s="39">
        <f>B5+B34+B82+B83+B89</f>
        <v>353240</v>
      </c>
      <c r="C92" s="39">
        <f>C5+C34+C82+C83+C89</f>
        <v>433264</v>
      </c>
      <c r="D92" s="39">
        <f>D5+D34+D82+D83+D89</f>
        <v>435244.31</v>
      </c>
      <c r="E92" s="67">
        <f>D92/C92</f>
        <v>1.00457067746224</v>
      </c>
      <c r="F92" s="39">
        <f>F5+F34+F82+F83+F89</f>
        <v>452893</v>
      </c>
      <c r="G92" s="39">
        <f>G5+G34+G82+G83+G89</f>
        <v>478341</v>
      </c>
      <c r="H92" s="39">
        <f>H5+H34+H82+H83+H89</f>
        <v>34623</v>
      </c>
      <c r="I92" s="39">
        <f>I5+I34+I82+I83+I89</f>
        <v>487516</v>
      </c>
      <c r="J92" s="131" t="s">
        <v>207</v>
      </c>
      <c r="K92" s="147">
        <v>323840</v>
      </c>
      <c r="L92" s="147">
        <f t="shared" ref="L92:O92" si="57">SUM(L73,L74)</f>
        <v>403156</v>
      </c>
      <c r="M92" s="147" t="e">
        <f t="shared" si="57"/>
        <v>#REF!</v>
      </c>
      <c r="N92" s="155" t="e">
        <f>M92/L92</f>
        <v>#REF!</v>
      </c>
      <c r="O92" s="147" t="e">
        <f t="shared" si="57"/>
        <v>#REF!</v>
      </c>
      <c r="P92" s="147"/>
      <c r="Q92" s="147"/>
      <c r="R92" s="102"/>
      <c r="S92" s="102"/>
      <c r="T92" s="102"/>
      <c r="U92" s="131" t="s">
        <v>207</v>
      </c>
      <c r="V92" s="147">
        <v>323840</v>
      </c>
      <c r="W92" s="147">
        <f t="shared" ref="W92:Z92" si="58">SUM(W69,W70)</f>
        <v>403156</v>
      </c>
      <c r="X92" s="147">
        <f t="shared" si="58"/>
        <v>223586</v>
      </c>
      <c r="Y92" s="155">
        <f>X92/W92</f>
        <v>0.554589290497971</v>
      </c>
      <c r="Z92" s="147">
        <v>434110</v>
      </c>
      <c r="AA92" s="147"/>
      <c r="AB92" s="147"/>
      <c r="AC92" s="147"/>
      <c r="AD92" s="82">
        <f>AD69+AD70</f>
        <v>420372</v>
      </c>
      <c r="AE92" s="82">
        <f>AE69+AE70</f>
        <v>34048</v>
      </c>
      <c r="AF92" s="82">
        <f>AF69+AF70</f>
        <v>468158</v>
      </c>
      <c r="AG92" s="82"/>
      <c r="AH92" s="82"/>
    </row>
    <row r="93" ht="20" customHeight="1" spans="1:34">
      <c r="A93" s="102"/>
      <c r="B93" s="164"/>
      <c r="C93" s="164"/>
      <c r="D93" s="164"/>
      <c r="E93" s="67"/>
      <c r="F93" s="165"/>
      <c r="G93" s="165"/>
      <c r="H93" s="165"/>
      <c r="I93" s="165"/>
      <c r="J93" s="131" t="s">
        <v>208</v>
      </c>
      <c r="K93" s="147">
        <v>2900</v>
      </c>
      <c r="L93" s="147">
        <f>2900+300+8+345</f>
        <v>3553</v>
      </c>
      <c r="M93" s="82">
        <v>4170</v>
      </c>
      <c r="N93" s="155"/>
      <c r="O93" s="147">
        <f>3553-300</f>
        <v>3253</v>
      </c>
      <c r="P93" s="147"/>
      <c r="Q93" s="147"/>
      <c r="R93" s="102"/>
      <c r="S93" s="102"/>
      <c r="T93" s="102"/>
      <c r="U93" s="131" t="s">
        <v>208</v>
      </c>
      <c r="V93" s="147">
        <v>2900</v>
      </c>
      <c r="W93" s="147">
        <f>2900+300+8+345</f>
        <v>3553</v>
      </c>
      <c r="X93" s="82">
        <v>4170</v>
      </c>
      <c r="Y93" s="155"/>
      <c r="Z93" s="147">
        <v>3253</v>
      </c>
      <c r="AA93" s="147"/>
      <c r="AB93" s="147"/>
      <c r="AC93" s="147"/>
      <c r="AD93" s="82"/>
      <c r="AE93" s="82">
        <f>AF93-Z93</f>
        <v>575</v>
      </c>
      <c r="AF93" s="82">
        <f>3140+688</f>
        <v>3828</v>
      </c>
      <c r="AG93" s="82"/>
      <c r="AH93" s="82"/>
    </row>
    <row r="94" ht="20" customHeight="1" spans="1:34">
      <c r="A94" s="102"/>
      <c r="B94" s="164"/>
      <c r="C94" s="164"/>
      <c r="D94" s="164"/>
      <c r="E94" s="67"/>
      <c r="F94" s="165"/>
      <c r="G94" s="165"/>
      <c r="H94" s="165"/>
      <c r="I94" s="165"/>
      <c r="J94" s="131" t="s">
        <v>209</v>
      </c>
      <c r="K94" s="147">
        <v>26500</v>
      </c>
      <c r="L94" s="147">
        <v>26500</v>
      </c>
      <c r="M94" s="82">
        <v>26500</v>
      </c>
      <c r="N94" s="155"/>
      <c r="O94" s="147">
        <v>15530</v>
      </c>
      <c r="P94" s="147"/>
      <c r="Q94" s="147"/>
      <c r="R94" s="102"/>
      <c r="S94" s="102"/>
      <c r="T94" s="102"/>
      <c r="U94" s="131" t="s">
        <v>209</v>
      </c>
      <c r="V94" s="147">
        <v>26500</v>
      </c>
      <c r="W94" s="147">
        <v>26500</v>
      </c>
      <c r="X94" s="82">
        <v>26500</v>
      </c>
      <c r="Y94" s="155"/>
      <c r="Z94" s="147">
        <v>15530</v>
      </c>
      <c r="AA94" s="147"/>
      <c r="AB94" s="147"/>
      <c r="AC94" s="147"/>
      <c r="AD94" s="82"/>
      <c r="AE94" s="82"/>
      <c r="AF94" s="82">
        <v>15530</v>
      </c>
      <c r="AG94" s="82"/>
      <c r="AH94" s="82"/>
    </row>
    <row r="95" ht="20" customHeight="1" spans="1:34">
      <c r="A95" s="102"/>
      <c r="B95" s="164"/>
      <c r="C95" s="164"/>
      <c r="D95" s="164"/>
      <c r="E95" s="67"/>
      <c r="F95" s="165"/>
      <c r="G95" s="165"/>
      <c r="H95" s="165"/>
      <c r="I95" s="165"/>
      <c r="J95" s="131" t="s">
        <v>210</v>
      </c>
      <c r="K95" s="147"/>
      <c r="L95" s="147"/>
      <c r="M95" s="82"/>
      <c r="N95" s="155"/>
      <c r="O95" s="147"/>
      <c r="P95" s="147"/>
      <c r="Q95" s="147"/>
      <c r="R95" s="102"/>
      <c r="S95" s="102"/>
      <c r="T95" s="102"/>
      <c r="U95" s="131" t="s">
        <v>210</v>
      </c>
      <c r="V95" s="147"/>
      <c r="W95" s="147"/>
      <c r="X95" s="82"/>
      <c r="Y95" s="155"/>
      <c r="Z95" s="147"/>
      <c r="AA95" s="147"/>
      <c r="AB95" s="147"/>
      <c r="AC95" s="147"/>
      <c r="AD95" s="82"/>
      <c r="AE95" s="82"/>
      <c r="AF95" s="82">
        <f>SUM(AG95:AH95)</f>
        <v>0</v>
      </c>
      <c r="AG95" s="82"/>
      <c r="AH95" s="82"/>
    </row>
    <row r="96" ht="20" customHeight="1" spans="1:34">
      <c r="A96" s="77" t="s">
        <v>211</v>
      </c>
      <c r="B96" s="39">
        <v>353240</v>
      </c>
      <c r="C96" s="39">
        <f>C92</f>
        <v>433264</v>
      </c>
      <c r="D96" s="39">
        <f>D92</f>
        <v>435244.31</v>
      </c>
      <c r="E96" s="67">
        <f>D96/C96</f>
        <v>1.00457067746224</v>
      </c>
      <c r="F96" s="39">
        <f>F92</f>
        <v>452893</v>
      </c>
      <c r="G96" s="39">
        <f>G92</f>
        <v>478341</v>
      </c>
      <c r="H96" s="39">
        <f>H92</f>
        <v>34623</v>
      </c>
      <c r="I96" s="39">
        <f>I92</f>
        <v>487516</v>
      </c>
      <c r="J96" s="133" t="s">
        <v>212</v>
      </c>
      <c r="K96" s="50">
        <v>353240</v>
      </c>
      <c r="L96" s="50">
        <f>SUM(L92:L95)</f>
        <v>433209</v>
      </c>
      <c r="M96" s="82" t="e">
        <f>M92+M93+M94</f>
        <v>#REF!</v>
      </c>
      <c r="N96" s="155" t="e">
        <f>M96/L96</f>
        <v>#REF!</v>
      </c>
      <c r="O96" s="50" t="e">
        <f>O92+O93+O94</f>
        <v>#REF!</v>
      </c>
      <c r="P96" s="50"/>
      <c r="Q96" s="50"/>
      <c r="R96" s="102"/>
      <c r="S96" s="102"/>
      <c r="T96" s="102"/>
      <c r="U96" s="133" t="s">
        <v>212</v>
      </c>
      <c r="V96" s="50">
        <v>353240</v>
      </c>
      <c r="W96" s="50">
        <f>SUM(W92:W95)</f>
        <v>433209</v>
      </c>
      <c r="X96" s="82">
        <f>X92+X93+X94</f>
        <v>254256</v>
      </c>
      <c r="Y96" s="155">
        <f>X96/W96</f>
        <v>0.586913014272557</v>
      </c>
      <c r="Z96" s="50">
        <v>452893</v>
      </c>
      <c r="AA96" s="50"/>
      <c r="AB96" s="50"/>
      <c r="AC96" s="50"/>
      <c r="AD96" s="82"/>
      <c r="AE96" s="82">
        <f>AE92+AE93+AE94</f>
        <v>34623</v>
      </c>
      <c r="AF96" s="82">
        <f>AF92+AF93+AF94</f>
        <v>487516</v>
      </c>
      <c r="AG96" s="82"/>
      <c r="AH96" s="82"/>
    </row>
    <row r="97" ht="20" customHeight="1" spans="1:34">
      <c r="A97" s="77"/>
      <c r="B97" s="39"/>
      <c r="C97" s="39"/>
      <c r="D97" s="39"/>
      <c r="E97" s="67"/>
      <c r="F97" s="39"/>
      <c r="G97" s="39"/>
      <c r="H97" s="39"/>
      <c r="I97" s="39"/>
      <c r="J97" s="168" t="s">
        <v>213</v>
      </c>
      <c r="K97" s="50">
        <v>0</v>
      </c>
      <c r="L97" s="50" t="e">
        <f t="shared" ref="L97:O97" si="59">L98-L96</f>
        <v>#REF!</v>
      </c>
      <c r="M97" s="50" t="e">
        <f t="shared" si="59"/>
        <v>#REF!</v>
      </c>
      <c r="N97" s="155"/>
      <c r="O97" s="50" t="e">
        <f t="shared" si="59"/>
        <v>#REF!</v>
      </c>
      <c r="P97" s="50"/>
      <c r="Q97" s="50"/>
      <c r="R97" s="102"/>
      <c r="S97" s="102"/>
      <c r="T97" s="102"/>
      <c r="U97" s="168" t="s">
        <v>213</v>
      </c>
      <c r="V97" s="50">
        <v>0</v>
      </c>
      <c r="W97" s="50">
        <f t="shared" ref="W97:Z97" si="60">W98-W96</f>
        <v>-433209</v>
      </c>
      <c r="X97" s="50">
        <f t="shared" si="60"/>
        <v>-254256</v>
      </c>
      <c r="Y97" s="155"/>
      <c r="Z97" s="50">
        <v>0</v>
      </c>
      <c r="AA97" s="50"/>
      <c r="AB97" s="50"/>
      <c r="AC97" s="50"/>
      <c r="AD97" s="82"/>
      <c r="AE97" s="82"/>
      <c r="AF97" s="82">
        <f>AF98-AF96</f>
        <v>0</v>
      </c>
      <c r="AG97" s="82"/>
      <c r="AH97" s="82"/>
    </row>
    <row r="98" ht="20" customHeight="1" spans="1:34">
      <c r="A98" s="134" t="s">
        <v>214</v>
      </c>
      <c r="B98" s="108">
        <v>353240</v>
      </c>
      <c r="C98" s="108">
        <f>C96</f>
        <v>433264</v>
      </c>
      <c r="D98" s="108">
        <f>D96</f>
        <v>435244.31</v>
      </c>
      <c r="E98" s="67">
        <f>D98/C98</f>
        <v>1.00457067746224</v>
      </c>
      <c r="F98" s="108">
        <f>F96</f>
        <v>452893</v>
      </c>
      <c r="G98" s="108">
        <f>G96</f>
        <v>478341</v>
      </c>
      <c r="H98" s="108">
        <f>H96</f>
        <v>34623</v>
      </c>
      <c r="I98" s="108">
        <f>I96</f>
        <v>487516</v>
      </c>
      <c r="J98" s="168" t="s">
        <v>215</v>
      </c>
      <c r="K98" s="147">
        <v>353240</v>
      </c>
      <c r="L98" s="147" t="e">
        <f>#REF!</f>
        <v>#REF!</v>
      </c>
      <c r="M98" s="39" t="e">
        <f>#REF!</f>
        <v>#REF!</v>
      </c>
      <c r="N98" s="155" t="e">
        <f>M98/L98</f>
        <v>#REF!</v>
      </c>
      <c r="O98" s="147" t="e">
        <f>#REF!</f>
        <v>#REF!</v>
      </c>
      <c r="P98" s="147"/>
      <c r="Q98" s="147"/>
      <c r="R98" s="102"/>
      <c r="S98" s="102"/>
      <c r="T98" s="102"/>
      <c r="U98" s="168" t="s">
        <v>215</v>
      </c>
      <c r="V98" s="147">
        <v>353240</v>
      </c>
      <c r="W98" s="147">
        <f t="shared" ref="W98:Z98" si="61">Q81</f>
        <v>0</v>
      </c>
      <c r="X98" s="39">
        <f t="shared" si="61"/>
        <v>0</v>
      </c>
      <c r="Y98" s="155" t="e">
        <f>X98/W98</f>
        <v>#DIV/0!</v>
      </c>
      <c r="Z98" s="147">
        <v>452893</v>
      </c>
      <c r="AA98" s="147"/>
      <c r="AB98" s="147"/>
      <c r="AC98" s="147"/>
      <c r="AD98" s="82"/>
      <c r="AE98" s="82">
        <f>AE96</f>
        <v>34623</v>
      </c>
      <c r="AF98" s="82">
        <f>I98</f>
        <v>487516</v>
      </c>
      <c r="AG98" s="82"/>
      <c r="AH98" s="82"/>
    </row>
    <row r="102" spans="21:21">
      <c r="U102" s="169"/>
    </row>
    <row r="103" spans="21:38">
      <c r="U103" s="85" t="s">
        <v>216</v>
      </c>
      <c r="Z103" s="85">
        <v>1900</v>
      </c>
      <c r="AD103" s="85">
        <v>1900</v>
      </c>
      <c r="AE103" s="85">
        <f>AD103-Z103</f>
        <v>0</v>
      </c>
      <c r="AJ103" s="171">
        <v>2000</v>
      </c>
      <c r="AL103" s="85">
        <v>12040</v>
      </c>
    </row>
    <row r="104" spans="21:38">
      <c r="U104" s="85" t="s">
        <v>217</v>
      </c>
      <c r="Z104" s="85">
        <v>5125</v>
      </c>
      <c r="AD104" s="85">
        <v>5300</v>
      </c>
      <c r="AE104" s="85">
        <f>AD104-Z104</f>
        <v>175</v>
      </c>
      <c r="AJ104" s="171">
        <v>2000</v>
      </c>
      <c r="AL104" s="85">
        <v>2200</v>
      </c>
    </row>
    <row r="105" spans="21:36">
      <c r="U105" s="85" t="s">
        <v>218</v>
      </c>
      <c r="Z105" s="85">
        <v>1280</v>
      </c>
      <c r="AD105" s="85">
        <v>1329</v>
      </c>
      <c r="AE105" s="85">
        <f>AD105-Z105</f>
        <v>49</v>
      </c>
      <c r="AJ105" s="171">
        <v>5300</v>
      </c>
    </row>
    <row r="106" spans="21:36">
      <c r="U106" s="85" t="s">
        <v>219</v>
      </c>
      <c r="Z106" s="85">
        <v>1638</v>
      </c>
      <c r="AD106" s="85">
        <v>1874</v>
      </c>
      <c r="AE106" s="85">
        <f>AD106-Z106</f>
        <v>236</v>
      </c>
      <c r="AJ106" s="171">
        <v>1900</v>
      </c>
    </row>
    <row r="107" spans="21:36">
      <c r="U107" s="85" t="s">
        <v>220</v>
      </c>
      <c r="Z107" s="85">
        <v>591</v>
      </c>
      <c r="AD107" s="85">
        <v>610</v>
      </c>
      <c r="AE107" s="85">
        <f>AD107-Z107</f>
        <v>19</v>
      </c>
      <c r="AJ107" s="116">
        <v>610</v>
      </c>
    </row>
    <row r="108" spans="36:36">
      <c r="AJ108" s="116">
        <v>1329</v>
      </c>
    </row>
    <row r="109" spans="26:36">
      <c r="Z109" s="85">
        <f>Z103+Z104+Z105+Z106+Z107</f>
        <v>10534</v>
      </c>
      <c r="AD109" s="85">
        <f>SUM(AD103:AD107)</f>
        <v>11013</v>
      </c>
      <c r="AJ109" s="116">
        <v>1874</v>
      </c>
    </row>
    <row r="110" spans="26:40">
      <c r="Z110" s="85">
        <v>4040</v>
      </c>
      <c r="AD110" s="85">
        <v>4040</v>
      </c>
      <c r="AJ110" s="116">
        <f>SUM(AJ103:AJ109)</f>
        <v>15013</v>
      </c>
      <c r="AL110" s="85">
        <f>SUM(AL103:AL109)</f>
        <v>14240</v>
      </c>
      <c r="AN110" s="85">
        <v>2200</v>
      </c>
    </row>
    <row r="111" spans="26:36">
      <c r="Z111" s="85">
        <f>Z109-Z110</f>
        <v>6494</v>
      </c>
      <c r="AA111" s="85">
        <f>AA109-AA110</f>
        <v>0</v>
      </c>
      <c r="AB111" s="85">
        <f>AB109-AB110</f>
        <v>0</v>
      </c>
      <c r="AC111" s="85">
        <f>AC109-AC110</f>
        <v>0</v>
      </c>
      <c r="AD111" s="85">
        <f>AD109-AD110</f>
        <v>6973</v>
      </c>
      <c r="AJ111" s="116">
        <v>12040</v>
      </c>
    </row>
    <row r="112" spans="26:36">
      <c r="Z112" s="85">
        <v>260</v>
      </c>
      <c r="AD112" s="85">
        <v>210</v>
      </c>
      <c r="AJ112" s="116">
        <v>2200</v>
      </c>
    </row>
    <row r="113" spans="26:31">
      <c r="Z113" s="85">
        <f>Z111-Z112</f>
        <v>6234</v>
      </c>
      <c r="AA113" s="85">
        <f>AA111-AA112</f>
        <v>0</v>
      </c>
      <c r="AB113" s="85">
        <f>AB111-AB112</f>
        <v>0</v>
      </c>
      <c r="AC113" s="85">
        <f>AC111-AC112</f>
        <v>0</v>
      </c>
      <c r="AD113" s="85">
        <f>AD111-AD112</f>
        <v>6763</v>
      </c>
      <c r="AE113" s="85">
        <f>AD113-Z113</f>
        <v>529</v>
      </c>
    </row>
    <row r="114" spans="30:30">
      <c r="AD114" s="85">
        <v>2200</v>
      </c>
    </row>
    <row r="115" spans="31:40">
      <c r="AE115" s="85">
        <f>AD113-AD114</f>
        <v>4563</v>
      </c>
      <c r="AJ115" s="116">
        <f>AJ110-AJ111-AJ112</f>
        <v>773</v>
      </c>
      <c r="AN115" s="85">
        <f>AJ110-AN110</f>
        <v>12813</v>
      </c>
    </row>
    <row r="119" spans="21:26">
      <c r="U119" s="85" t="s">
        <v>221</v>
      </c>
      <c r="Z119" s="85">
        <v>539.77</v>
      </c>
    </row>
    <row r="120" spans="21:26">
      <c r="U120" s="85" t="s">
        <v>222</v>
      </c>
      <c r="Z120" s="85">
        <v>898.09</v>
      </c>
    </row>
    <row r="121" spans="21:26">
      <c r="U121" s="85" t="s">
        <v>223</v>
      </c>
      <c r="Z121" s="85">
        <v>53.9</v>
      </c>
    </row>
    <row r="122" spans="26:26">
      <c r="Z122" s="85">
        <v>35.6</v>
      </c>
    </row>
    <row r="123" spans="21:26">
      <c r="U123" s="85" t="s">
        <v>224</v>
      </c>
      <c r="Z123" s="85">
        <v>346.69</v>
      </c>
    </row>
    <row r="125" spans="26:26">
      <c r="Z125" s="85">
        <f>SUM(Z119:Z124)</f>
        <v>1874.05</v>
      </c>
    </row>
  </sheetData>
  <mergeCells count="33">
    <mergeCell ref="A1:AH1"/>
    <mergeCell ref="AE2:AH2"/>
    <mergeCell ref="P3:Q3"/>
    <mergeCell ref="AA3:AB3"/>
    <mergeCell ref="AG3:AH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R3:R4"/>
    <mergeCell ref="S3:S4"/>
    <mergeCell ref="T3:T4"/>
    <mergeCell ref="U3:U4"/>
    <mergeCell ref="V3:V4"/>
    <mergeCell ref="W3:W4"/>
    <mergeCell ref="X3:X4"/>
    <mergeCell ref="Y3:Y4"/>
    <mergeCell ref="Z3:Z4"/>
    <mergeCell ref="AC3:AC4"/>
    <mergeCell ref="AD3:AD4"/>
    <mergeCell ref="AE3:AE4"/>
    <mergeCell ref="AF3:AF4"/>
  </mergeCells>
  <printOptions horizontalCentered="1"/>
  <pageMargins left="0.118055555555556" right="0.118055555555556" top="0.786805555555556" bottom="0.393055555555556" header="0.279166666666667" footer="0.200694444444444"/>
  <pageSetup paperSize="9" scale="80" orientation="landscape" horizontalDpi="300" verticalDpi="300"/>
  <headerFooter alignWithMargins="0" scaleWithDoc="0">
    <oddFooter>&amp;C第 &amp;P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YV35"/>
  <sheetViews>
    <sheetView showZeros="0" workbookViewId="0">
      <pane xSplit="1" ySplit="4" topLeftCell="B15" activePane="bottomRight" state="frozen"/>
      <selection/>
      <selection pane="topRight"/>
      <selection pane="bottomLeft"/>
      <selection pane="bottomRight" activeCell="E35" sqref="E35"/>
    </sheetView>
  </sheetViews>
  <sheetFormatPr defaultColWidth="9" defaultRowHeight="14.25"/>
  <cols>
    <col min="1" max="1" width="26.75" style="85" customWidth="1"/>
    <col min="2" max="5" width="8.125" style="116" customWidth="1"/>
    <col min="6" max="6" width="39.25" style="85" customWidth="1"/>
    <col min="7" max="7" width="9" style="114" customWidth="1"/>
    <col min="8" max="9" width="9" style="114" hidden="1" customWidth="1"/>
    <col min="10" max="11" width="9" style="85" customWidth="1"/>
    <col min="12" max="13" width="9" style="85" hidden="1" customWidth="1"/>
    <col min="14" max="16" width="9" style="85" customWidth="1"/>
    <col min="17" max="46" width="9" style="85" hidden="1" customWidth="1"/>
    <col min="47" max="55" width="9" style="117" hidden="1" customWidth="1"/>
    <col min="56" max="64" width="9" style="85" hidden="1" customWidth="1"/>
    <col min="65" max="65" width="9" style="85" customWidth="1"/>
    <col min="66" max="15464" width="9" style="85"/>
    <col min="15465" max="15496" width="9" style="87"/>
    <col min="15497" max="15508" width="9" style="85"/>
    <col min="15509" max="15540" width="9" style="87"/>
    <col min="15541" max="15543" width="9" style="85"/>
    <col min="15544" max="16384" width="9" style="87"/>
  </cols>
  <sheetData>
    <row r="1" ht="35" customHeight="1" spans="1:46">
      <c r="A1" s="118" t="s">
        <v>225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row>
    <row r="2" s="115" customFormat="1" ht="25" customHeight="1" spans="1:15543">
      <c r="A2" s="119" t="s">
        <v>226</v>
      </c>
      <c r="B2" s="120"/>
      <c r="C2" s="120"/>
      <c r="D2" s="120"/>
      <c r="E2" s="120"/>
      <c r="F2" s="121"/>
      <c r="G2" s="122"/>
      <c r="H2" s="122"/>
      <c r="I2" s="122"/>
      <c r="J2" s="121"/>
      <c r="K2" s="135"/>
      <c r="L2" s="135"/>
      <c r="M2" s="135"/>
      <c r="N2" s="136" t="s">
        <v>27</v>
      </c>
      <c r="O2" s="136"/>
      <c r="P2" s="136"/>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c r="NY2" s="121"/>
      <c r="NZ2" s="121"/>
      <c r="OA2" s="121"/>
      <c r="OB2" s="121"/>
      <c r="OC2" s="121"/>
      <c r="OD2" s="121"/>
      <c r="OE2" s="121"/>
      <c r="OF2" s="121"/>
      <c r="OG2" s="121"/>
      <c r="OH2" s="121"/>
      <c r="OI2" s="121"/>
      <c r="OJ2" s="121"/>
      <c r="OK2" s="121"/>
      <c r="OL2" s="121"/>
      <c r="OM2" s="121"/>
      <c r="ON2" s="121"/>
      <c r="OO2" s="121"/>
      <c r="OP2" s="121"/>
      <c r="OQ2" s="121"/>
      <c r="OR2" s="121"/>
      <c r="OS2" s="121"/>
      <c r="OT2" s="121"/>
      <c r="OU2" s="121"/>
      <c r="OV2" s="121"/>
      <c r="OW2" s="121"/>
      <c r="OX2" s="121"/>
      <c r="OY2" s="121"/>
      <c r="OZ2" s="121"/>
      <c r="PA2" s="121"/>
      <c r="PB2" s="121"/>
      <c r="PC2" s="121"/>
      <c r="PD2" s="121"/>
      <c r="PE2" s="121"/>
      <c r="PF2" s="121"/>
      <c r="PG2" s="121"/>
      <c r="PH2" s="121"/>
      <c r="PI2" s="121"/>
      <c r="PJ2" s="121"/>
      <c r="PK2" s="121"/>
      <c r="PL2" s="121"/>
      <c r="PM2" s="121"/>
      <c r="PN2" s="121"/>
      <c r="PO2" s="121"/>
      <c r="PP2" s="121"/>
      <c r="PQ2" s="121"/>
      <c r="PR2" s="121"/>
      <c r="PS2" s="121"/>
      <c r="PT2" s="121"/>
      <c r="PU2" s="121"/>
      <c r="PV2" s="121"/>
      <c r="PW2" s="121"/>
      <c r="PX2" s="121"/>
      <c r="PY2" s="121"/>
      <c r="PZ2" s="121"/>
      <c r="QA2" s="121"/>
      <c r="QB2" s="121"/>
      <c r="QC2" s="121"/>
      <c r="QD2" s="121"/>
      <c r="QE2" s="121"/>
      <c r="QF2" s="121"/>
      <c r="QG2" s="121"/>
      <c r="QH2" s="121"/>
      <c r="QI2" s="121"/>
      <c r="QJ2" s="121"/>
      <c r="QK2" s="121"/>
      <c r="QL2" s="121"/>
      <c r="QM2" s="121"/>
      <c r="QN2" s="121"/>
      <c r="QO2" s="121"/>
      <c r="QP2" s="121"/>
      <c r="QQ2" s="121"/>
      <c r="QR2" s="121"/>
      <c r="QS2" s="121"/>
      <c r="QT2" s="121"/>
      <c r="QU2" s="121"/>
      <c r="QV2" s="121"/>
      <c r="QW2" s="121"/>
      <c r="QX2" s="121"/>
      <c r="QY2" s="121"/>
      <c r="QZ2" s="121"/>
      <c r="RA2" s="121"/>
      <c r="RB2" s="121"/>
      <c r="RC2" s="121"/>
      <c r="RD2" s="121"/>
      <c r="RE2" s="121"/>
      <c r="RF2" s="121"/>
      <c r="RG2" s="121"/>
      <c r="RH2" s="121"/>
      <c r="RI2" s="121"/>
      <c r="RJ2" s="121"/>
      <c r="RK2" s="121"/>
      <c r="RL2" s="121"/>
      <c r="RM2" s="121"/>
      <c r="RN2" s="121"/>
      <c r="RO2" s="121"/>
      <c r="RP2" s="121"/>
      <c r="RQ2" s="121"/>
      <c r="RR2" s="121"/>
      <c r="RS2" s="121"/>
      <c r="RT2" s="121"/>
      <c r="RU2" s="121"/>
      <c r="RV2" s="121"/>
      <c r="RW2" s="121"/>
      <c r="RX2" s="121"/>
      <c r="RY2" s="121"/>
      <c r="RZ2" s="121"/>
      <c r="SA2" s="121"/>
      <c r="SB2" s="121"/>
      <c r="SC2" s="121"/>
      <c r="SD2" s="121"/>
      <c r="SE2" s="121"/>
      <c r="SF2" s="121"/>
      <c r="SG2" s="121"/>
      <c r="SH2" s="121"/>
      <c r="SI2" s="121"/>
      <c r="SJ2" s="121"/>
      <c r="SK2" s="121"/>
      <c r="SL2" s="121"/>
      <c r="SM2" s="121"/>
      <c r="SN2" s="121"/>
      <c r="SO2" s="121"/>
      <c r="SP2" s="121"/>
      <c r="SQ2" s="121"/>
      <c r="SR2" s="121"/>
      <c r="SS2" s="121"/>
      <c r="ST2" s="121"/>
      <c r="SU2" s="121"/>
      <c r="SV2" s="121"/>
      <c r="SW2" s="121"/>
      <c r="SX2" s="121"/>
      <c r="SY2" s="121"/>
      <c r="SZ2" s="121"/>
      <c r="TA2" s="121"/>
      <c r="TB2" s="121"/>
      <c r="TC2" s="121"/>
      <c r="TD2" s="121"/>
      <c r="TE2" s="121"/>
      <c r="TF2" s="121"/>
      <c r="TG2" s="121"/>
      <c r="TH2" s="121"/>
      <c r="TI2" s="121"/>
      <c r="TJ2" s="121"/>
      <c r="TK2" s="121"/>
      <c r="TL2" s="121"/>
      <c r="TM2" s="121"/>
      <c r="TN2" s="121"/>
      <c r="TO2" s="121"/>
      <c r="TP2" s="121"/>
      <c r="TQ2" s="121"/>
      <c r="TR2" s="121"/>
      <c r="TS2" s="121"/>
      <c r="TT2" s="121"/>
      <c r="TU2" s="121"/>
      <c r="TV2" s="121"/>
      <c r="TW2" s="121"/>
      <c r="TX2" s="121"/>
      <c r="TY2" s="121"/>
      <c r="TZ2" s="121"/>
      <c r="UA2" s="121"/>
      <c r="UB2" s="121"/>
      <c r="UC2" s="121"/>
      <c r="UD2" s="121"/>
      <c r="UE2" s="121"/>
      <c r="UF2" s="121"/>
      <c r="UG2" s="121"/>
      <c r="UH2" s="121"/>
      <c r="UI2" s="121"/>
      <c r="UJ2" s="121"/>
      <c r="UK2" s="121"/>
      <c r="UL2" s="121"/>
      <c r="UM2" s="121"/>
      <c r="UN2" s="121"/>
      <c r="UO2" s="121"/>
      <c r="UP2" s="121"/>
      <c r="UQ2" s="121"/>
      <c r="UR2" s="121"/>
      <c r="US2" s="121"/>
      <c r="UT2" s="121"/>
      <c r="UU2" s="121"/>
      <c r="UV2" s="121"/>
      <c r="UW2" s="121"/>
      <c r="UX2" s="121"/>
      <c r="UY2" s="121"/>
      <c r="UZ2" s="121"/>
      <c r="VA2" s="121"/>
      <c r="VB2" s="121"/>
      <c r="VC2" s="121"/>
      <c r="VD2" s="121"/>
      <c r="VE2" s="121"/>
      <c r="VF2" s="121"/>
      <c r="VG2" s="121"/>
      <c r="VH2" s="121"/>
      <c r="VI2" s="121"/>
      <c r="VJ2" s="121"/>
      <c r="VK2" s="121"/>
      <c r="VL2" s="121"/>
      <c r="VM2" s="121"/>
      <c r="VN2" s="121"/>
      <c r="VO2" s="121"/>
      <c r="VP2" s="121"/>
      <c r="VQ2" s="121"/>
      <c r="VR2" s="121"/>
      <c r="VS2" s="121"/>
      <c r="VT2" s="121"/>
      <c r="VU2" s="121"/>
      <c r="VV2" s="121"/>
      <c r="VW2" s="121"/>
      <c r="VX2" s="121"/>
      <c r="VY2" s="121"/>
      <c r="VZ2" s="121"/>
      <c r="WA2" s="121"/>
      <c r="WB2" s="121"/>
      <c r="WC2" s="121"/>
      <c r="WD2" s="121"/>
      <c r="WE2" s="121"/>
      <c r="WF2" s="121"/>
      <c r="WG2" s="121"/>
      <c r="WH2" s="121"/>
      <c r="WI2" s="121"/>
      <c r="WJ2" s="121"/>
      <c r="WK2" s="121"/>
      <c r="WL2" s="121"/>
      <c r="WM2" s="121"/>
      <c r="WN2" s="121"/>
      <c r="WO2" s="121"/>
      <c r="WP2" s="121"/>
      <c r="WQ2" s="121"/>
      <c r="WR2" s="121"/>
      <c r="WS2" s="121"/>
      <c r="WT2" s="121"/>
      <c r="WU2" s="121"/>
      <c r="WV2" s="121"/>
      <c r="WW2" s="121"/>
      <c r="WX2" s="121"/>
      <c r="WY2" s="121"/>
      <c r="WZ2" s="121"/>
      <c r="XA2" s="121"/>
      <c r="XB2" s="121"/>
      <c r="XC2" s="121"/>
      <c r="XD2" s="121"/>
      <c r="XE2" s="121"/>
      <c r="XF2" s="121"/>
      <c r="XG2" s="121"/>
      <c r="XH2" s="121"/>
      <c r="XI2" s="121"/>
      <c r="XJ2" s="121"/>
      <c r="XK2" s="121"/>
      <c r="XL2" s="121"/>
      <c r="XM2" s="121"/>
      <c r="XN2" s="121"/>
      <c r="XO2" s="121"/>
      <c r="XP2" s="121"/>
      <c r="XQ2" s="121"/>
      <c r="XR2" s="121"/>
      <c r="XS2" s="121"/>
      <c r="XT2" s="121"/>
      <c r="XU2" s="121"/>
      <c r="XV2" s="121"/>
      <c r="XW2" s="121"/>
      <c r="XX2" s="121"/>
      <c r="XY2" s="121"/>
      <c r="XZ2" s="121"/>
      <c r="YA2" s="121"/>
      <c r="YB2" s="121"/>
      <c r="YC2" s="121"/>
      <c r="YD2" s="121"/>
      <c r="YE2" s="121"/>
      <c r="YF2" s="121"/>
      <c r="YG2" s="121"/>
      <c r="YH2" s="121"/>
      <c r="YI2" s="121"/>
      <c r="YJ2" s="121"/>
      <c r="YK2" s="121"/>
      <c r="YL2" s="121"/>
      <c r="YM2" s="121"/>
      <c r="YN2" s="121"/>
      <c r="YO2" s="121"/>
      <c r="YP2" s="121"/>
      <c r="YQ2" s="121"/>
      <c r="YR2" s="121"/>
      <c r="YS2" s="121"/>
      <c r="YT2" s="121"/>
      <c r="YU2" s="121"/>
      <c r="YV2" s="121"/>
      <c r="YW2" s="121"/>
      <c r="YX2" s="121"/>
      <c r="YY2" s="121"/>
      <c r="YZ2" s="121"/>
      <c r="ZA2" s="121"/>
      <c r="ZB2" s="121"/>
      <c r="ZC2" s="121"/>
      <c r="ZD2" s="121"/>
      <c r="ZE2" s="121"/>
      <c r="ZF2" s="121"/>
      <c r="ZG2" s="121"/>
      <c r="ZH2" s="121"/>
      <c r="ZI2" s="121"/>
      <c r="ZJ2" s="121"/>
      <c r="ZK2" s="121"/>
      <c r="ZL2" s="121"/>
      <c r="ZM2" s="121"/>
      <c r="ZN2" s="121"/>
      <c r="ZO2" s="121"/>
      <c r="ZP2" s="121"/>
      <c r="ZQ2" s="121"/>
      <c r="ZR2" s="121"/>
      <c r="ZS2" s="121"/>
      <c r="ZT2" s="121"/>
      <c r="ZU2" s="121"/>
      <c r="ZV2" s="121"/>
      <c r="ZW2" s="121"/>
      <c r="ZX2" s="121"/>
      <c r="ZY2" s="121"/>
      <c r="ZZ2" s="121"/>
      <c r="AAA2" s="121"/>
      <c r="AAB2" s="121"/>
      <c r="AAC2" s="121"/>
      <c r="AAD2" s="121"/>
      <c r="AAE2" s="121"/>
      <c r="AAF2" s="121"/>
      <c r="AAG2" s="121"/>
      <c r="AAH2" s="121"/>
      <c r="AAI2" s="121"/>
      <c r="AAJ2" s="121"/>
      <c r="AAK2" s="121"/>
      <c r="AAL2" s="121"/>
      <c r="AAM2" s="121"/>
      <c r="AAN2" s="121"/>
      <c r="AAO2" s="121"/>
      <c r="AAP2" s="121"/>
      <c r="AAQ2" s="121"/>
      <c r="AAR2" s="121"/>
      <c r="AAS2" s="121"/>
      <c r="AAT2" s="121"/>
      <c r="AAU2" s="121"/>
      <c r="AAV2" s="121"/>
      <c r="AAW2" s="121"/>
      <c r="AAX2" s="121"/>
      <c r="AAY2" s="121"/>
      <c r="AAZ2" s="121"/>
      <c r="ABA2" s="121"/>
      <c r="ABB2" s="121"/>
      <c r="ABC2" s="121"/>
      <c r="ABD2" s="121"/>
      <c r="ABE2" s="121"/>
      <c r="ABF2" s="121"/>
      <c r="ABG2" s="121"/>
      <c r="ABH2" s="121"/>
      <c r="ABI2" s="121"/>
      <c r="ABJ2" s="121"/>
      <c r="ABK2" s="121"/>
      <c r="ABL2" s="121"/>
      <c r="ABM2" s="121"/>
      <c r="ABN2" s="121"/>
      <c r="ABO2" s="121"/>
      <c r="ABP2" s="121"/>
      <c r="ABQ2" s="121"/>
      <c r="ABR2" s="121"/>
      <c r="ABS2" s="121"/>
      <c r="ABT2" s="121"/>
      <c r="ABU2" s="121"/>
      <c r="ABV2" s="121"/>
      <c r="ABW2" s="121"/>
      <c r="ABX2" s="121"/>
      <c r="ABY2" s="121"/>
      <c r="ABZ2" s="121"/>
      <c r="ACA2" s="121"/>
      <c r="ACB2" s="121"/>
      <c r="ACC2" s="121"/>
      <c r="ACD2" s="121"/>
      <c r="ACE2" s="121"/>
      <c r="ACF2" s="121"/>
      <c r="ACG2" s="121"/>
      <c r="ACH2" s="121"/>
      <c r="ACI2" s="121"/>
      <c r="ACJ2" s="121"/>
      <c r="ACK2" s="121"/>
      <c r="ACL2" s="121"/>
      <c r="ACM2" s="121"/>
      <c r="ACN2" s="121"/>
      <c r="ACO2" s="121"/>
      <c r="ACP2" s="121"/>
      <c r="ACQ2" s="121"/>
      <c r="ACR2" s="121"/>
      <c r="ACS2" s="121"/>
      <c r="ACT2" s="121"/>
      <c r="ACU2" s="121"/>
      <c r="ACV2" s="121"/>
      <c r="ACW2" s="121"/>
      <c r="ACX2" s="121"/>
      <c r="ACY2" s="121"/>
      <c r="ACZ2" s="121"/>
      <c r="ADA2" s="121"/>
      <c r="ADB2" s="121"/>
      <c r="ADC2" s="121"/>
      <c r="ADD2" s="121"/>
      <c r="ADE2" s="121"/>
      <c r="ADF2" s="121"/>
      <c r="ADG2" s="121"/>
      <c r="ADH2" s="121"/>
      <c r="ADI2" s="121"/>
      <c r="ADJ2" s="121"/>
      <c r="ADK2" s="121"/>
      <c r="ADL2" s="121"/>
      <c r="ADM2" s="121"/>
      <c r="ADN2" s="121"/>
      <c r="ADO2" s="121"/>
      <c r="ADP2" s="121"/>
      <c r="ADQ2" s="121"/>
      <c r="ADR2" s="121"/>
      <c r="ADS2" s="121"/>
      <c r="ADT2" s="121"/>
      <c r="ADU2" s="121"/>
      <c r="ADV2" s="121"/>
      <c r="ADW2" s="121"/>
      <c r="ADX2" s="121"/>
      <c r="ADY2" s="121"/>
      <c r="ADZ2" s="121"/>
      <c r="AEA2" s="121"/>
      <c r="AEB2" s="121"/>
      <c r="AEC2" s="121"/>
      <c r="AED2" s="121"/>
      <c r="AEE2" s="121"/>
      <c r="AEF2" s="121"/>
      <c r="AEG2" s="121"/>
      <c r="AEH2" s="121"/>
      <c r="AEI2" s="121"/>
      <c r="AEJ2" s="121"/>
      <c r="AEK2" s="121"/>
      <c r="AEL2" s="121"/>
      <c r="AEM2" s="121"/>
      <c r="AEN2" s="121"/>
      <c r="AEO2" s="121"/>
      <c r="AEP2" s="121"/>
      <c r="AEQ2" s="121"/>
      <c r="AER2" s="121"/>
      <c r="AES2" s="121"/>
      <c r="AET2" s="121"/>
      <c r="AEU2" s="121"/>
      <c r="AEV2" s="121"/>
      <c r="AEW2" s="121"/>
      <c r="AEX2" s="121"/>
      <c r="AEY2" s="121"/>
      <c r="AEZ2" s="121"/>
      <c r="AFA2" s="121"/>
      <c r="AFB2" s="121"/>
      <c r="AFC2" s="121"/>
      <c r="AFD2" s="121"/>
      <c r="AFE2" s="121"/>
      <c r="AFF2" s="121"/>
      <c r="AFG2" s="121"/>
      <c r="AFH2" s="121"/>
      <c r="AFI2" s="121"/>
      <c r="AFJ2" s="121"/>
      <c r="AFK2" s="121"/>
      <c r="AFL2" s="121"/>
      <c r="AFM2" s="121"/>
      <c r="AFN2" s="121"/>
      <c r="AFO2" s="121"/>
      <c r="AFP2" s="121"/>
      <c r="AFQ2" s="121"/>
      <c r="AFR2" s="121"/>
      <c r="AFS2" s="121"/>
      <c r="AFT2" s="121"/>
      <c r="AFU2" s="121"/>
      <c r="AFV2" s="121"/>
      <c r="AFW2" s="121"/>
      <c r="AFX2" s="121"/>
      <c r="AFY2" s="121"/>
      <c r="AFZ2" s="121"/>
      <c r="AGA2" s="121"/>
      <c r="AGB2" s="121"/>
      <c r="AGC2" s="121"/>
      <c r="AGD2" s="121"/>
      <c r="AGE2" s="121"/>
      <c r="AGF2" s="121"/>
      <c r="AGG2" s="121"/>
      <c r="AGH2" s="121"/>
      <c r="AGI2" s="121"/>
      <c r="AGJ2" s="121"/>
      <c r="AGK2" s="121"/>
      <c r="AGL2" s="121"/>
      <c r="AGM2" s="121"/>
      <c r="AGN2" s="121"/>
      <c r="AGO2" s="121"/>
      <c r="AGP2" s="121"/>
      <c r="AGQ2" s="121"/>
      <c r="AGR2" s="121"/>
      <c r="AGS2" s="121"/>
      <c r="AGT2" s="121"/>
      <c r="AGU2" s="121"/>
      <c r="AGV2" s="121"/>
      <c r="AGW2" s="121"/>
      <c r="AGX2" s="121"/>
      <c r="AGY2" s="121"/>
      <c r="AGZ2" s="121"/>
      <c r="AHA2" s="121"/>
      <c r="AHB2" s="121"/>
      <c r="AHC2" s="121"/>
      <c r="AHD2" s="121"/>
      <c r="AHE2" s="121"/>
      <c r="AHF2" s="121"/>
      <c r="AHG2" s="121"/>
      <c r="AHH2" s="121"/>
      <c r="AHI2" s="121"/>
      <c r="AHJ2" s="121"/>
      <c r="AHK2" s="121"/>
      <c r="AHL2" s="121"/>
      <c r="AHM2" s="121"/>
      <c r="AHN2" s="121"/>
      <c r="AHO2" s="121"/>
      <c r="AHP2" s="121"/>
      <c r="AHQ2" s="121"/>
      <c r="AHR2" s="121"/>
      <c r="AHS2" s="121"/>
      <c r="AHT2" s="121"/>
      <c r="AHU2" s="121"/>
      <c r="AHV2" s="121"/>
      <c r="AHW2" s="121"/>
      <c r="AHX2" s="121"/>
      <c r="AHY2" s="121"/>
      <c r="AHZ2" s="121"/>
      <c r="AIA2" s="121"/>
      <c r="AIB2" s="121"/>
      <c r="AIC2" s="121"/>
      <c r="AID2" s="121"/>
      <c r="AIE2" s="121"/>
      <c r="AIF2" s="121"/>
      <c r="AIG2" s="121"/>
      <c r="AIH2" s="121"/>
      <c r="AII2" s="121"/>
      <c r="AIJ2" s="121"/>
      <c r="AIK2" s="121"/>
      <c r="AIL2" s="121"/>
      <c r="AIM2" s="121"/>
      <c r="AIN2" s="121"/>
      <c r="AIO2" s="121"/>
      <c r="AIP2" s="121"/>
      <c r="AIQ2" s="121"/>
      <c r="AIR2" s="121"/>
      <c r="AIS2" s="121"/>
      <c r="AIT2" s="121"/>
      <c r="AIU2" s="121"/>
      <c r="AIV2" s="121"/>
      <c r="AIW2" s="121"/>
      <c r="AIX2" s="121"/>
      <c r="AIY2" s="121"/>
      <c r="AIZ2" s="121"/>
      <c r="AJA2" s="121"/>
      <c r="AJB2" s="121"/>
      <c r="AJC2" s="121"/>
      <c r="AJD2" s="121"/>
      <c r="AJE2" s="121"/>
      <c r="AJF2" s="121"/>
      <c r="AJG2" s="121"/>
      <c r="AJH2" s="121"/>
      <c r="AJI2" s="121"/>
      <c r="AJJ2" s="121"/>
      <c r="AJK2" s="121"/>
      <c r="AJL2" s="121"/>
      <c r="AJM2" s="121"/>
      <c r="AJN2" s="121"/>
      <c r="AJO2" s="121"/>
      <c r="AJP2" s="121"/>
      <c r="AJQ2" s="121"/>
      <c r="AJR2" s="121"/>
      <c r="AJS2" s="121"/>
      <c r="AJT2" s="121"/>
      <c r="AJU2" s="121"/>
      <c r="AJV2" s="121"/>
      <c r="AJW2" s="121"/>
      <c r="AJX2" s="121"/>
      <c r="AJY2" s="121"/>
      <c r="AJZ2" s="121"/>
      <c r="AKA2" s="121"/>
      <c r="AKB2" s="121"/>
      <c r="AKC2" s="121"/>
      <c r="AKD2" s="121"/>
      <c r="AKE2" s="121"/>
      <c r="AKF2" s="121"/>
      <c r="AKG2" s="121"/>
      <c r="AKH2" s="121"/>
      <c r="AKI2" s="121"/>
      <c r="AKJ2" s="121"/>
      <c r="AKK2" s="121"/>
      <c r="AKL2" s="121"/>
      <c r="AKM2" s="121"/>
      <c r="AKN2" s="121"/>
      <c r="AKO2" s="121"/>
      <c r="AKP2" s="121"/>
      <c r="AKQ2" s="121"/>
      <c r="AKR2" s="121"/>
      <c r="AKS2" s="121"/>
      <c r="AKT2" s="121"/>
      <c r="AKU2" s="121"/>
      <c r="AKV2" s="121"/>
      <c r="AKW2" s="121"/>
      <c r="AKX2" s="121"/>
      <c r="AKY2" s="121"/>
      <c r="AKZ2" s="121"/>
      <c r="ALA2" s="121"/>
      <c r="ALB2" s="121"/>
      <c r="ALC2" s="121"/>
      <c r="ALD2" s="121"/>
      <c r="ALE2" s="121"/>
      <c r="ALF2" s="121"/>
      <c r="ALG2" s="121"/>
      <c r="ALH2" s="121"/>
      <c r="ALI2" s="121"/>
      <c r="ALJ2" s="121"/>
      <c r="ALK2" s="121"/>
      <c r="ALL2" s="121"/>
      <c r="ALM2" s="121"/>
      <c r="ALN2" s="121"/>
      <c r="ALO2" s="121"/>
      <c r="ALP2" s="121"/>
      <c r="ALQ2" s="121"/>
      <c r="ALR2" s="121"/>
      <c r="ALS2" s="121"/>
      <c r="ALT2" s="121"/>
      <c r="ALU2" s="121"/>
      <c r="ALV2" s="121"/>
      <c r="ALW2" s="121"/>
      <c r="ALX2" s="121"/>
      <c r="ALY2" s="121"/>
      <c r="ALZ2" s="121"/>
      <c r="AMA2" s="121"/>
      <c r="AMB2" s="121"/>
      <c r="AMC2" s="121"/>
      <c r="AMD2" s="121"/>
      <c r="AME2" s="121"/>
      <c r="AMF2" s="121"/>
      <c r="AMG2" s="121"/>
      <c r="AMH2" s="121"/>
      <c r="AMI2" s="121"/>
      <c r="AMJ2" s="121"/>
      <c r="AMK2" s="121"/>
      <c r="AML2" s="121"/>
      <c r="AMM2" s="121"/>
      <c r="AMN2" s="121"/>
      <c r="AMO2" s="121"/>
      <c r="AMP2" s="121"/>
      <c r="AMQ2" s="121"/>
      <c r="AMR2" s="121"/>
      <c r="AMS2" s="121"/>
      <c r="AMT2" s="121"/>
      <c r="AMU2" s="121"/>
      <c r="AMV2" s="121"/>
      <c r="AMW2" s="121"/>
      <c r="AMX2" s="121"/>
      <c r="AMY2" s="121"/>
      <c r="AMZ2" s="121"/>
      <c r="ANA2" s="121"/>
      <c r="ANB2" s="121"/>
      <c r="ANC2" s="121"/>
      <c r="AND2" s="121"/>
      <c r="ANE2" s="121"/>
      <c r="ANF2" s="121"/>
      <c r="ANG2" s="121"/>
      <c r="ANH2" s="121"/>
      <c r="ANI2" s="121"/>
      <c r="ANJ2" s="121"/>
      <c r="ANK2" s="121"/>
      <c r="ANL2" s="121"/>
      <c r="ANM2" s="121"/>
      <c r="ANN2" s="121"/>
      <c r="ANO2" s="121"/>
      <c r="ANP2" s="121"/>
      <c r="ANQ2" s="121"/>
      <c r="ANR2" s="121"/>
      <c r="ANS2" s="121"/>
      <c r="ANT2" s="121"/>
      <c r="ANU2" s="121"/>
      <c r="ANV2" s="121"/>
      <c r="ANW2" s="121"/>
      <c r="ANX2" s="121"/>
      <c r="ANY2" s="121"/>
      <c r="ANZ2" s="121"/>
      <c r="AOA2" s="121"/>
      <c r="AOB2" s="121"/>
      <c r="AOC2" s="121"/>
      <c r="AOD2" s="121"/>
      <c r="AOE2" s="121"/>
      <c r="AOF2" s="121"/>
      <c r="AOG2" s="121"/>
      <c r="AOH2" s="121"/>
      <c r="AOI2" s="121"/>
      <c r="AOJ2" s="121"/>
      <c r="AOK2" s="121"/>
      <c r="AOL2" s="121"/>
      <c r="AOM2" s="121"/>
      <c r="AON2" s="121"/>
      <c r="AOO2" s="121"/>
      <c r="AOP2" s="121"/>
      <c r="AOQ2" s="121"/>
      <c r="AOR2" s="121"/>
      <c r="AOS2" s="121"/>
      <c r="AOT2" s="121"/>
      <c r="AOU2" s="121"/>
      <c r="AOV2" s="121"/>
      <c r="AOW2" s="121"/>
      <c r="AOX2" s="121"/>
      <c r="AOY2" s="121"/>
      <c r="AOZ2" s="121"/>
      <c r="APA2" s="121"/>
      <c r="APB2" s="121"/>
      <c r="APC2" s="121"/>
      <c r="APD2" s="121"/>
      <c r="APE2" s="121"/>
      <c r="APF2" s="121"/>
      <c r="APG2" s="121"/>
      <c r="APH2" s="121"/>
      <c r="API2" s="121"/>
      <c r="APJ2" s="121"/>
      <c r="APK2" s="121"/>
      <c r="APL2" s="121"/>
      <c r="APM2" s="121"/>
      <c r="APN2" s="121"/>
      <c r="APO2" s="121"/>
      <c r="APP2" s="121"/>
      <c r="APQ2" s="121"/>
      <c r="APR2" s="121"/>
      <c r="APS2" s="121"/>
      <c r="APT2" s="121"/>
      <c r="APU2" s="121"/>
      <c r="APV2" s="121"/>
      <c r="APW2" s="121"/>
      <c r="APX2" s="121"/>
      <c r="APY2" s="121"/>
      <c r="APZ2" s="121"/>
      <c r="AQA2" s="121"/>
      <c r="AQB2" s="121"/>
      <c r="AQC2" s="121"/>
      <c r="AQD2" s="121"/>
      <c r="AQE2" s="121"/>
      <c r="AQF2" s="121"/>
      <c r="AQG2" s="121"/>
      <c r="AQH2" s="121"/>
      <c r="AQI2" s="121"/>
      <c r="AQJ2" s="121"/>
      <c r="AQK2" s="121"/>
      <c r="AQL2" s="121"/>
      <c r="AQM2" s="121"/>
      <c r="AQN2" s="121"/>
      <c r="AQO2" s="121"/>
      <c r="AQP2" s="121"/>
      <c r="AQQ2" s="121"/>
      <c r="AQR2" s="121"/>
      <c r="AQS2" s="121"/>
      <c r="AQT2" s="121"/>
      <c r="AQU2" s="121"/>
      <c r="AQV2" s="121"/>
      <c r="AQW2" s="121"/>
      <c r="AQX2" s="121"/>
      <c r="AQY2" s="121"/>
      <c r="AQZ2" s="121"/>
      <c r="ARA2" s="121"/>
      <c r="ARB2" s="121"/>
      <c r="ARC2" s="121"/>
      <c r="ARD2" s="121"/>
      <c r="ARE2" s="121"/>
      <c r="ARF2" s="121"/>
      <c r="ARG2" s="121"/>
      <c r="ARH2" s="121"/>
      <c r="ARI2" s="121"/>
      <c r="ARJ2" s="121"/>
      <c r="ARK2" s="121"/>
      <c r="ARL2" s="121"/>
      <c r="ARM2" s="121"/>
      <c r="ARN2" s="121"/>
      <c r="ARO2" s="121"/>
      <c r="ARP2" s="121"/>
      <c r="ARQ2" s="121"/>
      <c r="ARR2" s="121"/>
      <c r="ARS2" s="121"/>
      <c r="ART2" s="121"/>
      <c r="ARU2" s="121"/>
      <c r="ARV2" s="121"/>
      <c r="ARW2" s="121"/>
      <c r="ARX2" s="121"/>
      <c r="ARY2" s="121"/>
      <c r="ARZ2" s="121"/>
      <c r="ASA2" s="121"/>
      <c r="ASB2" s="121"/>
      <c r="ASC2" s="121"/>
      <c r="ASD2" s="121"/>
      <c r="ASE2" s="121"/>
      <c r="ASF2" s="121"/>
      <c r="ASG2" s="121"/>
      <c r="ASH2" s="121"/>
      <c r="ASI2" s="121"/>
      <c r="ASJ2" s="121"/>
      <c r="ASK2" s="121"/>
      <c r="ASL2" s="121"/>
      <c r="ASM2" s="121"/>
      <c r="ASN2" s="121"/>
      <c r="ASO2" s="121"/>
      <c r="ASP2" s="121"/>
      <c r="ASQ2" s="121"/>
      <c r="ASR2" s="121"/>
      <c r="ASS2" s="121"/>
      <c r="AST2" s="121"/>
      <c r="ASU2" s="121"/>
      <c r="ASV2" s="121"/>
      <c r="ASW2" s="121"/>
      <c r="ASX2" s="121"/>
      <c r="ASY2" s="121"/>
      <c r="ASZ2" s="121"/>
      <c r="ATA2" s="121"/>
      <c r="ATB2" s="121"/>
      <c r="ATC2" s="121"/>
      <c r="ATD2" s="121"/>
      <c r="ATE2" s="121"/>
      <c r="ATF2" s="121"/>
      <c r="ATG2" s="121"/>
      <c r="ATH2" s="121"/>
      <c r="ATI2" s="121"/>
      <c r="ATJ2" s="121"/>
      <c r="ATK2" s="121"/>
      <c r="ATL2" s="121"/>
      <c r="ATM2" s="121"/>
      <c r="ATN2" s="121"/>
      <c r="ATO2" s="121"/>
      <c r="ATP2" s="121"/>
      <c r="ATQ2" s="121"/>
      <c r="ATR2" s="121"/>
      <c r="ATS2" s="121"/>
      <c r="ATT2" s="121"/>
      <c r="ATU2" s="121"/>
      <c r="ATV2" s="121"/>
      <c r="ATW2" s="121"/>
      <c r="ATX2" s="121"/>
      <c r="ATY2" s="121"/>
      <c r="ATZ2" s="121"/>
      <c r="AUA2" s="121"/>
      <c r="AUB2" s="121"/>
      <c r="AUC2" s="121"/>
      <c r="AUD2" s="121"/>
      <c r="AUE2" s="121"/>
      <c r="AUF2" s="121"/>
      <c r="AUG2" s="121"/>
      <c r="AUH2" s="121"/>
      <c r="AUI2" s="121"/>
      <c r="AUJ2" s="121"/>
      <c r="AUK2" s="121"/>
      <c r="AUL2" s="121"/>
      <c r="AUM2" s="121"/>
      <c r="AUN2" s="121"/>
      <c r="AUO2" s="121"/>
      <c r="AUP2" s="121"/>
      <c r="AUQ2" s="121"/>
      <c r="AUR2" s="121"/>
      <c r="AUS2" s="121"/>
      <c r="AUT2" s="121"/>
      <c r="AUU2" s="121"/>
      <c r="AUV2" s="121"/>
      <c r="AUW2" s="121"/>
      <c r="AUX2" s="121"/>
      <c r="AUY2" s="121"/>
      <c r="AUZ2" s="121"/>
      <c r="AVA2" s="121"/>
      <c r="AVB2" s="121"/>
      <c r="AVC2" s="121"/>
      <c r="AVD2" s="121"/>
      <c r="AVE2" s="121"/>
      <c r="AVF2" s="121"/>
      <c r="AVG2" s="121"/>
      <c r="AVH2" s="121"/>
      <c r="AVI2" s="121"/>
      <c r="AVJ2" s="121"/>
      <c r="AVK2" s="121"/>
      <c r="AVL2" s="121"/>
      <c r="AVM2" s="121"/>
      <c r="AVN2" s="121"/>
      <c r="AVO2" s="121"/>
      <c r="AVP2" s="121"/>
      <c r="AVQ2" s="121"/>
      <c r="AVR2" s="121"/>
      <c r="AVS2" s="121"/>
      <c r="AVT2" s="121"/>
      <c r="AVU2" s="121"/>
      <c r="AVV2" s="121"/>
      <c r="AVW2" s="121"/>
      <c r="AVX2" s="121"/>
      <c r="AVY2" s="121"/>
      <c r="AVZ2" s="121"/>
      <c r="AWA2" s="121"/>
      <c r="AWB2" s="121"/>
      <c r="AWC2" s="121"/>
      <c r="AWD2" s="121"/>
      <c r="AWE2" s="121"/>
      <c r="AWF2" s="121"/>
      <c r="AWG2" s="121"/>
      <c r="AWH2" s="121"/>
      <c r="AWI2" s="121"/>
      <c r="AWJ2" s="121"/>
      <c r="AWK2" s="121"/>
      <c r="AWL2" s="121"/>
      <c r="AWM2" s="121"/>
      <c r="AWN2" s="121"/>
      <c r="AWO2" s="121"/>
      <c r="AWP2" s="121"/>
      <c r="AWQ2" s="121"/>
      <c r="AWR2" s="121"/>
      <c r="AWS2" s="121"/>
      <c r="AWT2" s="121"/>
      <c r="AWU2" s="121"/>
      <c r="AWV2" s="121"/>
      <c r="AWW2" s="121"/>
      <c r="AWX2" s="121"/>
      <c r="AWY2" s="121"/>
      <c r="AWZ2" s="121"/>
      <c r="AXA2" s="121"/>
      <c r="AXB2" s="121"/>
      <c r="AXC2" s="121"/>
      <c r="AXD2" s="121"/>
      <c r="AXE2" s="121"/>
      <c r="AXF2" s="121"/>
      <c r="AXG2" s="121"/>
      <c r="AXH2" s="121"/>
      <c r="AXI2" s="121"/>
      <c r="AXJ2" s="121"/>
      <c r="AXK2" s="121"/>
      <c r="AXL2" s="121"/>
      <c r="AXM2" s="121"/>
      <c r="AXN2" s="121"/>
      <c r="AXO2" s="121"/>
      <c r="AXP2" s="121"/>
      <c r="AXQ2" s="121"/>
      <c r="AXR2" s="121"/>
      <c r="AXS2" s="121"/>
      <c r="AXT2" s="121"/>
      <c r="AXU2" s="121"/>
      <c r="AXV2" s="121"/>
      <c r="AXW2" s="121"/>
      <c r="AXX2" s="121"/>
      <c r="AXY2" s="121"/>
      <c r="AXZ2" s="121"/>
      <c r="AYA2" s="121"/>
      <c r="AYB2" s="121"/>
      <c r="AYC2" s="121"/>
      <c r="AYD2" s="121"/>
      <c r="AYE2" s="121"/>
      <c r="AYF2" s="121"/>
      <c r="AYG2" s="121"/>
      <c r="AYH2" s="121"/>
      <c r="AYI2" s="121"/>
      <c r="AYJ2" s="121"/>
      <c r="AYK2" s="121"/>
      <c r="AYL2" s="121"/>
      <c r="AYM2" s="121"/>
      <c r="AYN2" s="121"/>
      <c r="AYO2" s="121"/>
      <c r="AYP2" s="121"/>
      <c r="AYQ2" s="121"/>
      <c r="AYR2" s="121"/>
      <c r="AYS2" s="121"/>
      <c r="AYT2" s="121"/>
      <c r="AYU2" s="121"/>
      <c r="AYV2" s="121"/>
      <c r="AYW2" s="121"/>
      <c r="AYX2" s="121"/>
      <c r="AYY2" s="121"/>
      <c r="AYZ2" s="121"/>
      <c r="AZA2" s="121"/>
      <c r="AZB2" s="121"/>
      <c r="AZC2" s="121"/>
      <c r="AZD2" s="121"/>
      <c r="AZE2" s="121"/>
      <c r="AZF2" s="121"/>
      <c r="AZG2" s="121"/>
      <c r="AZH2" s="121"/>
      <c r="AZI2" s="121"/>
      <c r="AZJ2" s="121"/>
      <c r="AZK2" s="121"/>
      <c r="AZL2" s="121"/>
      <c r="AZM2" s="121"/>
      <c r="AZN2" s="121"/>
      <c r="AZO2" s="121"/>
      <c r="AZP2" s="121"/>
      <c r="AZQ2" s="121"/>
      <c r="AZR2" s="121"/>
      <c r="AZS2" s="121"/>
      <c r="AZT2" s="121"/>
      <c r="AZU2" s="121"/>
      <c r="AZV2" s="121"/>
      <c r="AZW2" s="121"/>
      <c r="AZX2" s="121"/>
      <c r="AZY2" s="121"/>
      <c r="AZZ2" s="121"/>
      <c r="BAA2" s="121"/>
      <c r="BAB2" s="121"/>
      <c r="BAC2" s="121"/>
      <c r="BAD2" s="121"/>
      <c r="BAE2" s="121"/>
      <c r="BAF2" s="121"/>
      <c r="BAG2" s="121"/>
      <c r="BAH2" s="121"/>
      <c r="BAI2" s="121"/>
      <c r="BAJ2" s="121"/>
      <c r="BAK2" s="121"/>
      <c r="BAL2" s="121"/>
      <c r="BAM2" s="121"/>
      <c r="BAN2" s="121"/>
      <c r="BAO2" s="121"/>
      <c r="BAP2" s="121"/>
      <c r="BAQ2" s="121"/>
      <c r="BAR2" s="121"/>
      <c r="BAS2" s="121"/>
      <c r="BAT2" s="121"/>
      <c r="BAU2" s="121"/>
      <c r="BAV2" s="121"/>
      <c r="BAW2" s="121"/>
      <c r="BAX2" s="121"/>
      <c r="BAY2" s="121"/>
      <c r="BAZ2" s="121"/>
      <c r="BBA2" s="121"/>
      <c r="BBB2" s="121"/>
      <c r="BBC2" s="121"/>
      <c r="BBD2" s="121"/>
      <c r="BBE2" s="121"/>
      <c r="BBF2" s="121"/>
      <c r="BBG2" s="121"/>
      <c r="BBH2" s="121"/>
      <c r="BBI2" s="121"/>
      <c r="BBJ2" s="121"/>
      <c r="BBK2" s="121"/>
      <c r="BBL2" s="121"/>
      <c r="BBM2" s="121"/>
      <c r="BBN2" s="121"/>
      <c r="BBO2" s="121"/>
      <c r="BBP2" s="121"/>
      <c r="BBQ2" s="121"/>
      <c r="BBR2" s="121"/>
      <c r="BBS2" s="121"/>
      <c r="BBT2" s="121"/>
      <c r="BBU2" s="121"/>
      <c r="BBV2" s="121"/>
      <c r="BBW2" s="121"/>
      <c r="BBX2" s="121"/>
      <c r="BBY2" s="121"/>
      <c r="BBZ2" s="121"/>
      <c r="BCA2" s="121"/>
      <c r="BCB2" s="121"/>
      <c r="BCC2" s="121"/>
      <c r="BCD2" s="121"/>
      <c r="BCE2" s="121"/>
      <c r="BCF2" s="121"/>
      <c r="BCG2" s="121"/>
      <c r="BCH2" s="121"/>
      <c r="BCI2" s="121"/>
      <c r="BCJ2" s="121"/>
      <c r="BCK2" s="121"/>
      <c r="BCL2" s="121"/>
      <c r="BCM2" s="121"/>
      <c r="BCN2" s="121"/>
      <c r="BCO2" s="121"/>
      <c r="BCP2" s="121"/>
      <c r="BCQ2" s="121"/>
      <c r="BCR2" s="121"/>
      <c r="BCS2" s="121"/>
      <c r="BCT2" s="121"/>
      <c r="BCU2" s="121"/>
      <c r="BCV2" s="121"/>
      <c r="BCW2" s="121"/>
      <c r="BCX2" s="121"/>
      <c r="BCY2" s="121"/>
      <c r="BCZ2" s="121"/>
      <c r="BDA2" s="121"/>
      <c r="BDB2" s="121"/>
      <c r="BDC2" s="121"/>
      <c r="BDD2" s="121"/>
      <c r="BDE2" s="121"/>
      <c r="BDF2" s="121"/>
      <c r="BDG2" s="121"/>
      <c r="BDH2" s="121"/>
      <c r="BDI2" s="121"/>
      <c r="BDJ2" s="121"/>
      <c r="BDK2" s="121"/>
      <c r="BDL2" s="121"/>
      <c r="BDM2" s="121"/>
      <c r="BDN2" s="121"/>
      <c r="BDO2" s="121"/>
      <c r="BDP2" s="121"/>
      <c r="BDQ2" s="121"/>
      <c r="BDR2" s="121"/>
      <c r="BDS2" s="121"/>
      <c r="BDT2" s="121"/>
      <c r="BDU2" s="121"/>
      <c r="BDV2" s="121"/>
      <c r="BDW2" s="121"/>
      <c r="BDX2" s="121"/>
      <c r="BDY2" s="121"/>
      <c r="BDZ2" s="121"/>
      <c r="BEA2" s="121"/>
      <c r="BEB2" s="121"/>
      <c r="BEC2" s="121"/>
      <c r="BED2" s="121"/>
      <c r="BEE2" s="121"/>
      <c r="BEF2" s="121"/>
      <c r="BEG2" s="121"/>
      <c r="BEH2" s="121"/>
      <c r="BEI2" s="121"/>
      <c r="BEJ2" s="121"/>
      <c r="BEK2" s="121"/>
      <c r="BEL2" s="121"/>
      <c r="BEM2" s="121"/>
      <c r="BEN2" s="121"/>
      <c r="BEO2" s="121"/>
      <c r="BEP2" s="121"/>
      <c r="BEQ2" s="121"/>
      <c r="BER2" s="121"/>
      <c r="BES2" s="121"/>
      <c r="BET2" s="121"/>
      <c r="BEU2" s="121"/>
      <c r="BEV2" s="121"/>
      <c r="BEW2" s="121"/>
      <c r="BEX2" s="121"/>
      <c r="BEY2" s="121"/>
      <c r="BEZ2" s="121"/>
      <c r="BFA2" s="121"/>
      <c r="BFB2" s="121"/>
      <c r="BFC2" s="121"/>
      <c r="BFD2" s="121"/>
      <c r="BFE2" s="121"/>
      <c r="BFF2" s="121"/>
      <c r="BFG2" s="121"/>
      <c r="BFH2" s="121"/>
      <c r="BFI2" s="121"/>
      <c r="BFJ2" s="121"/>
      <c r="BFK2" s="121"/>
      <c r="BFL2" s="121"/>
      <c r="BFM2" s="121"/>
      <c r="BFN2" s="121"/>
      <c r="BFO2" s="121"/>
      <c r="BFP2" s="121"/>
      <c r="BFQ2" s="121"/>
      <c r="BFR2" s="121"/>
      <c r="BFS2" s="121"/>
      <c r="BFT2" s="121"/>
      <c r="BFU2" s="121"/>
      <c r="BFV2" s="121"/>
      <c r="BFW2" s="121"/>
      <c r="BFX2" s="121"/>
      <c r="BFY2" s="121"/>
      <c r="BFZ2" s="121"/>
      <c r="BGA2" s="121"/>
      <c r="BGB2" s="121"/>
      <c r="BGC2" s="121"/>
      <c r="BGD2" s="121"/>
      <c r="BGE2" s="121"/>
      <c r="BGF2" s="121"/>
      <c r="BGG2" s="121"/>
      <c r="BGH2" s="121"/>
      <c r="BGI2" s="121"/>
      <c r="BGJ2" s="121"/>
      <c r="BGK2" s="121"/>
      <c r="BGL2" s="121"/>
      <c r="BGM2" s="121"/>
      <c r="BGN2" s="121"/>
      <c r="BGO2" s="121"/>
      <c r="BGP2" s="121"/>
      <c r="BGQ2" s="121"/>
      <c r="BGR2" s="121"/>
      <c r="BGS2" s="121"/>
      <c r="BGT2" s="121"/>
      <c r="BGU2" s="121"/>
      <c r="BGV2" s="121"/>
      <c r="BGW2" s="121"/>
      <c r="BGX2" s="121"/>
      <c r="BGY2" s="121"/>
      <c r="BGZ2" s="121"/>
      <c r="BHA2" s="121"/>
      <c r="BHB2" s="121"/>
      <c r="BHC2" s="121"/>
      <c r="BHD2" s="121"/>
      <c r="BHE2" s="121"/>
      <c r="BHF2" s="121"/>
      <c r="BHG2" s="121"/>
      <c r="BHH2" s="121"/>
      <c r="BHI2" s="121"/>
      <c r="BHJ2" s="121"/>
      <c r="BHK2" s="121"/>
      <c r="BHL2" s="121"/>
      <c r="BHM2" s="121"/>
      <c r="BHN2" s="121"/>
      <c r="BHO2" s="121"/>
      <c r="BHP2" s="121"/>
      <c r="BHQ2" s="121"/>
      <c r="BHR2" s="121"/>
      <c r="BHS2" s="121"/>
      <c r="BHT2" s="121"/>
      <c r="BHU2" s="121"/>
      <c r="BHV2" s="121"/>
      <c r="BHW2" s="121"/>
      <c r="BHX2" s="121"/>
      <c r="BHY2" s="121"/>
      <c r="BHZ2" s="121"/>
      <c r="BIA2" s="121"/>
      <c r="BIB2" s="121"/>
      <c r="BIC2" s="121"/>
      <c r="BID2" s="121"/>
      <c r="BIE2" s="121"/>
      <c r="BIF2" s="121"/>
      <c r="BIG2" s="121"/>
      <c r="BIH2" s="121"/>
      <c r="BII2" s="121"/>
      <c r="BIJ2" s="121"/>
      <c r="BIK2" s="121"/>
      <c r="BIL2" s="121"/>
      <c r="BIM2" s="121"/>
      <c r="BIN2" s="121"/>
      <c r="BIO2" s="121"/>
      <c r="BIP2" s="121"/>
      <c r="BIQ2" s="121"/>
      <c r="BIR2" s="121"/>
      <c r="BIS2" s="121"/>
      <c r="BIT2" s="121"/>
      <c r="BIU2" s="121"/>
      <c r="BIV2" s="121"/>
      <c r="BIW2" s="121"/>
      <c r="BIX2" s="121"/>
      <c r="BIY2" s="121"/>
      <c r="BIZ2" s="121"/>
      <c r="BJA2" s="121"/>
      <c r="BJB2" s="121"/>
      <c r="BJC2" s="121"/>
      <c r="BJD2" s="121"/>
      <c r="BJE2" s="121"/>
      <c r="BJF2" s="121"/>
      <c r="BJG2" s="121"/>
      <c r="BJH2" s="121"/>
      <c r="BJI2" s="121"/>
      <c r="BJJ2" s="121"/>
      <c r="BJK2" s="121"/>
      <c r="BJL2" s="121"/>
      <c r="BJM2" s="121"/>
      <c r="BJN2" s="121"/>
      <c r="BJO2" s="121"/>
      <c r="BJP2" s="121"/>
      <c r="BJQ2" s="121"/>
      <c r="BJR2" s="121"/>
      <c r="BJS2" s="121"/>
      <c r="BJT2" s="121"/>
      <c r="BJU2" s="121"/>
      <c r="BJV2" s="121"/>
      <c r="BJW2" s="121"/>
      <c r="BJX2" s="121"/>
      <c r="BJY2" s="121"/>
      <c r="BJZ2" s="121"/>
      <c r="BKA2" s="121"/>
      <c r="BKB2" s="121"/>
      <c r="BKC2" s="121"/>
      <c r="BKD2" s="121"/>
      <c r="BKE2" s="121"/>
      <c r="BKF2" s="121"/>
      <c r="BKG2" s="121"/>
      <c r="BKH2" s="121"/>
      <c r="BKI2" s="121"/>
      <c r="BKJ2" s="121"/>
      <c r="BKK2" s="121"/>
      <c r="BKL2" s="121"/>
      <c r="BKM2" s="121"/>
      <c r="BKN2" s="121"/>
      <c r="BKO2" s="121"/>
      <c r="BKP2" s="121"/>
      <c r="BKQ2" s="121"/>
      <c r="BKR2" s="121"/>
      <c r="BKS2" s="121"/>
      <c r="BKT2" s="121"/>
      <c r="BKU2" s="121"/>
      <c r="BKV2" s="121"/>
      <c r="BKW2" s="121"/>
      <c r="BKX2" s="121"/>
      <c r="BKY2" s="121"/>
      <c r="BKZ2" s="121"/>
      <c r="BLA2" s="121"/>
      <c r="BLB2" s="121"/>
      <c r="BLC2" s="121"/>
      <c r="BLD2" s="121"/>
      <c r="BLE2" s="121"/>
      <c r="BLF2" s="121"/>
      <c r="BLG2" s="121"/>
      <c r="BLH2" s="121"/>
      <c r="BLI2" s="121"/>
      <c r="BLJ2" s="121"/>
      <c r="BLK2" s="121"/>
      <c r="BLL2" s="121"/>
      <c r="BLM2" s="121"/>
      <c r="BLN2" s="121"/>
      <c r="BLO2" s="121"/>
      <c r="BLP2" s="121"/>
      <c r="BLQ2" s="121"/>
      <c r="BLR2" s="121"/>
      <c r="BLS2" s="121"/>
      <c r="BLT2" s="121"/>
      <c r="BLU2" s="121"/>
      <c r="BLV2" s="121"/>
      <c r="BLW2" s="121"/>
      <c r="BLX2" s="121"/>
      <c r="BLY2" s="121"/>
      <c r="BLZ2" s="121"/>
      <c r="BMA2" s="121"/>
      <c r="BMB2" s="121"/>
      <c r="BMC2" s="121"/>
      <c r="BMD2" s="121"/>
      <c r="BME2" s="121"/>
      <c r="BMF2" s="121"/>
      <c r="BMG2" s="121"/>
      <c r="BMH2" s="121"/>
      <c r="BMI2" s="121"/>
      <c r="BMJ2" s="121"/>
      <c r="BMK2" s="121"/>
      <c r="BML2" s="121"/>
      <c r="BMM2" s="121"/>
      <c r="BMN2" s="121"/>
      <c r="BMO2" s="121"/>
      <c r="BMP2" s="121"/>
      <c r="BMQ2" s="121"/>
      <c r="BMR2" s="121"/>
      <c r="BMS2" s="121"/>
      <c r="BMT2" s="121"/>
      <c r="BMU2" s="121"/>
      <c r="BMV2" s="121"/>
      <c r="BMW2" s="121"/>
      <c r="BMX2" s="121"/>
      <c r="BMY2" s="121"/>
      <c r="BMZ2" s="121"/>
      <c r="BNA2" s="121"/>
      <c r="BNB2" s="121"/>
      <c r="BNC2" s="121"/>
      <c r="BND2" s="121"/>
      <c r="BNE2" s="121"/>
      <c r="BNF2" s="121"/>
      <c r="BNG2" s="121"/>
      <c r="BNH2" s="121"/>
      <c r="BNI2" s="121"/>
      <c r="BNJ2" s="121"/>
      <c r="BNK2" s="121"/>
      <c r="BNL2" s="121"/>
      <c r="BNM2" s="121"/>
      <c r="BNN2" s="121"/>
      <c r="BNO2" s="121"/>
      <c r="BNP2" s="121"/>
      <c r="BNQ2" s="121"/>
      <c r="BNR2" s="121"/>
      <c r="BNS2" s="121"/>
      <c r="BNT2" s="121"/>
      <c r="BNU2" s="121"/>
      <c r="BNV2" s="121"/>
      <c r="BNW2" s="121"/>
      <c r="BNX2" s="121"/>
      <c r="BNY2" s="121"/>
      <c r="BNZ2" s="121"/>
      <c r="BOA2" s="121"/>
      <c r="BOB2" s="121"/>
      <c r="BOC2" s="121"/>
      <c r="BOD2" s="121"/>
      <c r="BOE2" s="121"/>
      <c r="BOF2" s="121"/>
      <c r="BOG2" s="121"/>
      <c r="BOH2" s="121"/>
      <c r="BOI2" s="121"/>
      <c r="BOJ2" s="121"/>
      <c r="BOK2" s="121"/>
      <c r="BOL2" s="121"/>
      <c r="BOM2" s="121"/>
      <c r="BON2" s="121"/>
      <c r="BOO2" s="121"/>
      <c r="BOP2" s="121"/>
      <c r="BOQ2" s="121"/>
      <c r="BOR2" s="121"/>
      <c r="BOS2" s="121"/>
      <c r="BOT2" s="121"/>
      <c r="BOU2" s="121"/>
      <c r="BOV2" s="121"/>
      <c r="BOW2" s="121"/>
      <c r="BOX2" s="121"/>
      <c r="BOY2" s="121"/>
      <c r="BOZ2" s="121"/>
      <c r="BPA2" s="121"/>
      <c r="BPB2" s="121"/>
      <c r="BPC2" s="121"/>
      <c r="BPD2" s="121"/>
      <c r="BPE2" s="121"/>
      <c r="BPF2" s="121"/>
      <c r="BPG2" s="121"/>
      <c r="BPH2" s="121"/>
      <c r="BPI2" s="121"/>
      <c r="BPJ2" s="121"/>
      <c r="BPK2" s="121"/>
      <c r="BPL2" s="121"/>
      <c r="BPM2" s="121"/>
      <c r="BPN2" s="121"/>
      <c r="BPO2" s="121"/>
      <c r="BPP2" s="121"/>
      <c r="BPQ2" s="121"/>
      <c r="BPR2" s="121"/>
      <c r="BPS2" s="121"/>
      <c r="BPT2" s="121"/>
      <c r="BPU2" s="121"/>
      <c r="BPV2" s="121"/>
      <c r="BPW2" s="121"/>
      <c r="BPX2" s="121"/>
      <c r="BPY2" s="121"/>
      <c r="BPZ2" s="121"/>
      <c r="BQA2" s="121"/>
      <c r="BQB2" s="121"/>
      <c r="BQC2" s="121"/>
      <c r="BQD2" s="121"/>
      <c r="BQE2" s="121"/>
      <c r="BQF2" s="121"/>
      <c r="BQG2" s="121"/>
      <c r="BQH2" s="121"/>
      <c r="BQI2" s="121"/>
      <c r="BQJ2" s="121"/>
      <c r="BQK2" s="121"/>
      <c r="BQL2" s="121"/>
      <c r="BQM2" s="121"/>
      <c r="BQN2" s="121"/>
      <c r="BQO2" s="121"/>
      <c r="BQP2" s="121"/>
      <c r="BQQ2" s="121"/>
      <c r="BQR2" s="121"/>
      <c r="BQS2" s="121"/>
      <c r="BQT2" s="121"/>
      <c r="BQU2" s="121"/>
      <c r="BQV2" s="121"/>
      <c r="BQW2" s="121"/>
      <c r="BQX2" s="121"/>
      <c r="BQY2" s="121"/>
      <c r="BQZ2" s="121"/>
      <c r="BRA2" s="121"/>
      <c r="BRB2" s="121"/>
      <c r="BRC2" s="121"/>
      <c r="BRD2" s="121"/>
      <c r="BRE2" s="121"/>
      <c r="BRF2" s="121"/>
      <c r="BRG2" s="121"/>
      <c r="BRH2" s="121"/>
      <c r="BRI2" s="121"/>
      <c r="BRJ2" s="121"/>
      <c r="BRK2" s="121"/>
      <c r="BRL2" s="121"/>
      <c r="BRM2" s="121"/>
      <c r="BRN2" s="121"/>
      <c r="BRO2" s="121"/>
      <c r="BRP2" s="121"/>
      <c r="BRQ2" s="121"/>
      <c r="BRR2" s="121"/>
      <c r="BRS2" s="121"/>
      <c r="BRT2" s="121"/>
      <c r="BRU2" s="121"/>
      <c r="BRV2" s="121"/>
      <c r="BRW2" s="121"/>
      <c r="BRX2" s="121"/>
      <c r="BRY2" s="121"/>
      <c r="BRZ2" s="121"/>
      <c r="BSA2" s="121"/>
      <c r="BSB2" s="121"/>
      <c r="BSC2" s="121"/>
      <c r="BSD2" s="121"/>
      <c r="BSE2" s="121"/>
      <c r="BSF2" s="121"/>
      <c r="BSG2" s="121"/>
      <c r="BSH2" s="121"/>
      <c r="BSI2" s="121"/>
      <c r="BSJ2" s="121"/>
      <c r="BSK2" s="121"/>
      <c r="BSL2" s="121"/>
      <c r="BSM2" s="121"/>
      <c r="BSN2" s="121"/>
      <c r="BSO2" s="121"/>
      <c r="BSP2" s="121"/>
      <c r="BSQ2" s="121"/>
      <c r="BSR2" s="121"/>
      <c r="BSS2" s="121"/>
      <c r="BST2" s="121"/>
      <c r="BSU2" s="121"/>
      <c r="BSV2" s="121"/>
      <c r="BSW2" s="121"/>
      <c r="BSX2" s="121"/>
      <c r="BSY2" s="121"/>
      <c r="BSZ2" s="121"/>
      <c r="BTA2" s="121"/>
      <c r="BTB2" s="121"/>
      <c r="BTC2" s="121"/>
      <c r="BTD2" s="121"/>
      <c r="BTE2" s="121"/>
      <c r="BTF2" s="121"/>
      <c r="BTG2" s="121"/>
      <c r="BTH2" s="121"/>
      <c r="BTI2" s="121"/>
      <c r="BTJ2" s="121"/>
      <c r="BTK2" s="121"/>
      <c r="BTL2" s="121"/>
      <c r="BTM2" s="121"/>
      <c r="BTN2" s="121"/>
      <c r="BTO2" s="121"/>
      <c r="BTP2" s="121"/>
      <c r="BTQ2" s="121"/>
      <c r="BTR2" s="121"/>
      <c r="BTS2" s="121"/>
      <c r="BTT2" s="121"/>
      <c r="BTU2" s="121"/>
      <c r="BTV2" s="121"/>
      <c r="BTW2" s="121"/>
      <c r="BTX2" s="121"/>
      <c r="BTY2" s="121"/>
      <c r="BTZ2" s="121"/>
      <c r="BUA2" s="121"/>
      <c r="BUB2" s="121"/>
      <c r="BUC2" s="121"/>
      <c r="BUD2" s="121"/>
      <c r="BUE2" s="121"/>
      <c r="BUF2" s="121"/>
      <c r="BUG2" s="121"/>
      <c r="BUH2" s="121"/>
      <c r="BUI2" s="121"/>
      <c r="BUJ2" s="121"/>
      <c r="BUK2" s="121"/>
      <c r="BUL2" s="121"/>
      <c r="BUM2" s="121"/>
      <c r="BUN2" s="121"/>
      <c r="BUO2" s="121"/>
      <c r="BUP2" s="121"/>
      <c r="BUQ2" s="121"/>
      <c r="BUR2" s="121"/>
      <c r="BUS2" s="121"/>
      <c r="BUT2" s="121"/>
      <c r="BUU2" s="121"/>
      <c r="BUV2" s="121"/>
      <c r="BUW2" s="121"/>
      <c r="BUX2" s="121"/>
      <c r="BUY2" s="121"/>
      <c r="BUZ2" s="121"/>
      <c r="BVA2" s="121"/>
      <c r="BVB2" s="121"/>
      <c r="BVC2" s="121"/>
      <c r="BVD2" s="121"/>
      <c r="BVE2" s="121"/>
      <c r="BVF2" s="121"/>
      <c r="BVG2" s="121"/>
      <c r="BVH2" s="121"/>
      <c r="BVI2" s="121"/>
      <c r="BVJ2" s="121"/>
      <c r="BVK2" s="121"/>
      <c r="BVL2" s="121"/>
      <c r="BVM2" s="121"/>
      <c r="BVN2" s="121"/>
      <c r="BVO2" s="121"/>
      <c r="BVP2" s="121"/>
      <c r="BVQ2" s="121"/>
      <c r="BVR2" s="121"/>
      <c r="BVS2" s="121"/>
      <c r="BVT2" s="121"/>
      <c r="BVU2" s="121"/>
      <c r="BVV2" s="121"/>
      <c r="BVW2" s="121"/>
      <c r="BVX2" s="121"/>
      <c r="BVY2" s="121"/>
      <c r="BVZ2" s="121"/>
      <c r="BWA2" s="121"/>
      <c r="BWB2" s="121"/>
      <c r="BWC2" s="121"/>
      <c r="BWD2" s="121"/>
      <c r="BWE2" s="121"/>
      <c r="BWF2" s="121"/>
      <c r="BWG2" s="121"/>
      <c r="BWH2" s="121"/>
      <c r="BWI2" s="121"/>
      <c r="BWJ2" s="121"/>
      <c r="BWK2" s="121"/>
      <c r="BWL2" s="121"/>
      <c r="BWM2" s="121"/>
      <c r="BWN2" s="121"/>
      <c r="BWO2" s="121"/>
      <c r="BWP2" s="121"/>
      <c r="BWQ2" s="121"/>
      <c r="BWR2" s="121"/>
      <c r="BWS2" s="121"/>
      <c r="BWT2" s="121"/>
      <c r="BWU2" s="121"/>
      <c r="BWV2" s="121"/>
      <c r="BWW2" s="121"/>
      <c r="BWX2" s="121"/>
      <c r="BWY2" s="121"/>
      <c r="BWZ2" s="121"/>
      <c r="BXA2" s="121"/>
      <c r="BXB2" s="121"/>
      <c r="BXC2" s="121"/>
      <c r="BXD2" s="121"/>
      <c r="BXE2" s="121"/>
      <c r="BXF2" s="121"/>
      <c r="BXG2" s="121"/>
      <c r="BXH2" s="121"/>
      <c r="BXI2" s="121"/>
      <c r="BXJ2" s="121"/>
      <c r="BXK2" s="121"/>
      <c r="BXL2" s="121"/>
      <c r="BXM2" s="121"/>
      <c r="BXN2" s="121"/>
      <c r="BXO2" s="121"/>
      <c r="BXP2" s="121"/>
      <c r="BXQ2" s="121"/>
      <c r="BXR2" s="121"/>
      <c r="BXS2" s="121"/>
      <c r="BXT2" s="121"/>
      <c r="BXU2" s="121"/>
      <c r="BXV2" s="121"/>
      <c r="BXW2" s="121"/>
      <c r="BXX2" s="121"/>
      <c r="BXY2" s="121"/>
      <c r="BXZ2" s="121"/>
      <c r="BYA2" s="121"/>
      <c r="BYB2" s="121"/>
      <c r="BYC2" s="121"/>
      <c r="BYD2" s="121"/>
      <c r="BYE2" s="121"/>
      <c r="BYF2" s="121"/>
      <c r="BYG2" s="121"/>
      <c r="BYH2" s="121"/>
      <c r="BYI2" s="121"/>
      <c r="BYJ2" s="121"/>
      <c r="BYK2" s="121"/>
      <c r="BYL2" s="121"/>
      <c r="BYM2" s="121"/>
      <c r="BYN2" s="121"/>
      <c r="BYO2" s="121"/>
      <c r="BYP2" s="121"/>
      <c r="BYQ2" s="121"/>
      <c r="BYR2" s="121"/>
      <c r="BYS2" s="121"/>
      <c r="BYT2" s="121"/>
      <c r="BYU2" s="121"/>
      <c r="BYV2" s="121"/>
      <c r="BYW2" s="121"/>
      <c r="BYX2" s="121"/>
      <c r="BYY2" s="121"/>
      <c r="BYZ2" s="121"/>
      <c r="BZA2" s="121"/>
      <c r="BZB2" s="121"/>
      <c r="BZC2" s="121"/>
      <c r="BZD2" s="121"/>
      <c r="BZE2" s="121"/>
      <c r="BZF2" s="121"/>
      <c r="BZG2" s="121"/>
      <c r="BZH2" s="121"/>
      <c r="BZI2" s="121"/>
      <c r="BZJ2" s="121"/>
      <c r="BZK2" s="121"/>
      <c r="BZL2" s="121"/>
      <c r="BZM2" s="121"/>
      <c r="BZN2" s="121"/>
      <c r="BZO2" s="121"/>
      <c r="BZP2" s="121"/>
      <c r="BZQ2" s="121"/>
      <c r="BZR2" s="121"/>
      <c r="BZS2" s="121"/>
      <c r="BZT2" s="121"/>
      <c r="BZU2" s="121"/>
      <c r="BZV2" s="121"/>
      <c r="BZW2" s="121"/>
      <c r="BZX2" s="121"/>
      <c r="BZY2" s="121"/>
      <c r="BZZ2" s="121"/>
      <c r="CAA2" s="121"/>
      <c r="CAB2" s="121"/>
      <c r="CAC2" s="121"/>
      <c r="CAD2" s="121"/>
      <c r="CAE2" s="121"/>
      <c r="CAF2" s="121"/>
      <c r="CAG2" s="121"/>
      <c r="CAH2" s="121"/>
      <c r="CAI2" s="121"/>
      <c r="CAJ2" s="121"/>
      <c r="CAK2" s="121"/>
      <c r="CAL2" s="121"/>
      <c r="CAM2" s="121"/>
      <c r="CAN2" s="121"/>
      <c r="CAO2" s="121"/>
      <c r="CAP2" s="121"/>
      <c r="CAQ2" s="121"/>
      <c r="CAR2" s="121"/>
      <c r="CAS2" s="121"/>
      <c r="CAT2" s="121"/>
      <c r="CAU2" s="121"/>
      <c r="CAV2" s="121"/>
      <c r="CAW2" s="121"/>
      <c r="CAX2" s="121"/>
      <c r="CAY2" s="121"/>
      <c r="CAZ2" s="121"/>
      <c r="CBA2" s="121"/>
      <c r="CBB2" s="121"/>
      <c r="CBC2" s="121"/>
      <c r="CBD2" s="121"/>
      <c r="CBE2" s="121"/>
      <c r="CBF2" s="121"/>
      <c r="CBG2" s="121"/>
      <c r="CBH2" s="121"/>
      <c r="CBI2" s="121"/>
      <c r="CBJ2" s="121"/>
      <c r="CBK2" s="121"/>
      <c r="CBL2" s="121"/>
      <c r="CBM2" s="121"/>
      <c r="CBN2" s="121"/>
      <c r="CBO2" s="121"/>
      <c r="CBP2" s="121"/>
      <c r="CBQ2" s="121"/>
      <c r="CBR2" s="121"/>
      <c r="CBS2" s="121"/>
      <c r="CBT2" s="121"/>
      <c r="CBU2" s="121"/>
      <c r="CBV2" s="121"/>
      <c r="CBW2" s="121"/>
      <c r="CBX2" s="121"/>
      <c r="CBY2" s="121"/>
      <c r="CBZ2" s="121"/>
      <c r="CCA2" s="121"/>
      <c r="CCB2" s="121"/>
      <c r="CCC2" s="121"/>
      <c r="CCD2" s="121"/>
      <c r="CCE2" s="121"/>
      <c r="CCF2" s="121"/>
      <c r="CCG2" s="121"/>
      <c r="CCH2" s="121"/>
      <c r="CCI2" s="121"/>
      <c r="CCJ2" s="121"/>
      <c r="CCK2" s="121"/>
      <c r="CCL2" s="121"/>
      <c r="CCM2" s="121"/>
      <c r="CCN2" s="121"/>
      <c r="CCO2" s="121"/>
      <c r="CCP2" s="121"/>
      <c r="CCQ2" s="121"/>
      <c r="CCR2" s="121"/>
      <c r="CCS2" s="121"/>
      <c r="CCT2" s="121"/>
      <c r="CCU2" s="121"/>
      <c r="CCV2" s="121"/>
      <c r="CCW2" s="121"/>
      <c r="CCX2" s="121"/>
      <c r="CCY2" s="121"/>
      <c r="CCZ2" s="121"/>
      <c r="CDA2" s="121"/>
      <c r="CDB2" s="121"/>
      <c r="CDC2" s="121"/>
      <c r="CDD2" s="121"/>
      <c r="CDE2" s="121"/>
      <c r="CDF2" s="121"/>
      <c r="CDG2" s="121"/>
      <c r="CDH2" s="121"/>
      <c r="CDI2" s="121"/>
      <c r="CDJ2" s="121"/>
      <c r="CDK2" s="121"/>
      <c r="CDL2" s="121"/>
      <c r="CDM2" s="121"/>
      <c r="CDN2" s="121"/>
      <c r="CDO2" s="121"/>
      <c r="CDP2" s="121"/>
      <c r="CDQ2" s="121"/>
      <c r="CDR2" s="121"/>
      <c r="CDS2" s="121"/>
      <c r="CDT2" s="121"/>
      <c r="CDU2" s="121"/>
      <c r="CDV2" s="121"/>
      <c r="CDW2" s="121"/>
      <c r="CDX2" s="121"/>
      <c r="CDY2" s="121"/>
      <c r="CDZ2" s="121"/>
      <c r="CEA2" s="121"/>
      <c r="CEB2" s="121"/>
      <c r="CEC2" s="121"/>
      <c r="CED2" s="121"/>
      <c r="CEE2" s="121"/>
      <c r="CEF2" s="121"/>
      <c r="CEG2" s="121"/>
      <c r="CEH2" s="121"/>
      <c r="CEI2" s="121"/>
      <c r="CEJ2" s="121"/>
      <c r="CEK2" s="121"/>
      <c r="CEL2" s="121"/>
      <c r="CEM2" s="121"/>
      <c r="CEN2" s="121"/>
      <c r="CEO2" s="121"/>
      <c r="CEP2" s="121"/>
      <c r="CEQ2" s="121"/>
      <c r="CER2" s="121"/>
      <c r="CES2" s="121"/>
      <c r="CET2" s="121"/>
      <c r="CEU2" s="121"/>
      <c r="CEV2" s="121"/>
      <c r="CEW2" s="121"/>
      <c r="CEX2" s="121"/>
      <c r="CEY2" s="121"/>
      <c r="CEZ2" s="121"/>
      <c r="CFA2" s="121"/>
      <c r="CFB2" s="121"/>
      <c r="CFC2" s="121"/>
      <c r="CFD2" s="121"/>
      <c r="CFE2" s="121"/>
      <c r="CFF2" s="121"/>
      <c r="CFG2" s="121"/>
      <c r="CFH2" s="121"/>
      <c r="CFI2" s="121"/>
      <c r="CFJ2" s="121"/>
      <c r="CFK2" s="121"/>
      <c r="CFL2" s="121"/>
      <c r="CFM2" s="121"/>
      <c r="CFN2" s="121"/>
      <c r="CFO2" s="121"/>
      <c r="CFP2" s="121"/>
      <c r="CFQ2" s="121"/>
      <c r="CFR2" s="121"/>
      <c r="CFS2" s="121"/>
      <c r="CFT2" s="121"/>
      <c r="CFU2" s="121"/>
      <c r="CFV2" s="121"/>
      <c r="CFW2" s="121"/>
      <c r="CFX2" s="121"/>
      <c r="CFY2" s="121"/>
      <c r="CFZ2" s="121"/>
      <c r="CGA2" s="121"/>
      <c r="CGB2" s="121"/>
      <c r="CGC2" s="121"/>
      <c r="CGD2" s="121"/>
      <c r="CGE2" s="121"/>
      <c r="CGF2" s="121"/>
      <c r="CGG2" s="121"/>
      <c r="CGH2" s="121"/>
      <c r="CGI2" s="121"/>
      <c r="CGJ2" s="121"/>
      <c r="CGK2" s="121"/>
      <c r="CGL2" s="121"/>
      <c r="CGM2" s="121"/>
      <c r="CGN2" s="121"/>
      <c r="CGO2" s="121"/>
      <c r="CGP2" s="121"/>
      <c r="CGQ2" s="121"/>
      <c r="CGR2" s="121"/>
      <c r="CGS2" s="121"/>
      <c r="CGT2" s="121"/>
      <c r="CGU2" s="121"/>
      <c r="CGV2" s="121"/>
      <c r="CGW2" s="121"/>
      <c r="CGX2" s="121"/>
      <c r="CGY2" s="121"/>
      <c r="CGZ2" s="121"/>
      <c r="CHA2" s="121"/>
      <c r="CHB2" s="121"/>
      <c r="CHC2" s="121"/>
      <c r="CHD2" s="121"/>
      <c r="CHE2" s="121"/>
      <c r="CHF2" s="121"/>
      <c r="CHG2" s="121"/>
      <c r="CHH2" s="121"/>
      <c r="CHI2" s="121"/>
      <c r="CHJ2" s="121"/>
      <c r="CHK2" s="121"/>
      <c r="CHL2" s="121"/>
      <c r="CHM2" s="121"/>
      <c r="CHN2" s="121"/>
      <c r="CHO2" s="121"/>
      <c r="CHP2" s="121"/>
      <c r="CHQ2" s="121"/>
      <c r="CHR2" s="121"/>
      <c r="CHS2" s="121"/>
      <c r="CHT2" s="121"/>
      <c r="CHU2" s="121"/>
      <c r="CHV2" s="121"/>
      <c r="CHW2" s="121"/>
      <c r="CHX2" s="121"/>
      <c r="CHY2" s="121"/>
      <c r="CHZ2" s="121"/>
      <c r="CIA2" s="121"/>
      <c r="CIB2" s="121"/>
      <c r="CIC2" s="121"/>
      <c r="CID2" s="121"/>
      <c r="CIE2" s="121"/>
      <c r="CIF2" s="121"/>
      <c r="CIG2" s="121"/>
      <c r="CIH2" s="121"/>
      <c r="CII2" s="121"/>
      <c r="CIJ2" s="121"/>
      <c r="CIK2" s="121"/>
      <c r="CIL2" s="121"/>
      <c r="CIM2" s="121"/>
      <c r="CIN2" s="121"/>
      <c r="CIO2" s="121"/>
      <c r="CIP2" s="121"/>
      <c r="CIQ2" s="121"/>
      <c r="CIR2" s="121"/>
      <c r="CIS2" s="121"/>
      <c r="CIT2" s="121"/>
      <c r="CIU2" s="121"/>
      <c r="CIV2" s="121"/>
      <c r="CIW2" s="121"/>
      <c r="CIX2" s="121"/>
      <c r="CIY2" s="121"/>
      <c r="CIZ2" s="121"/>
      <c r="CJA2" s="121"/>
      <c r="CJB2" s="121"/>
      <c r="CJC2" s="121"/>
      <c r="CJD2" s="121"/>
      <c r="CJE2" s="121"/>
      <c r="CJF2" s="121"/>
      <c r="CJG2" s="121"/>
      <c r="CJH2" s="121"/>
      <c r="CJI2" s="121"/>
      <c r="CJJ2" s="121"/>
      <c r="CJK2" s="121"/>
      <c r="CJL2" s="121"/>
      <c r="CJM2" s="121"/>
      <c r="CJN2" s="121"/>
      <c r="CJO2" s="121"/>
      <c r="CJP2" s="121"/>
      <c r="CJQ2" s="121"/>
      <c r="CJR2" s="121"/>
      <c r="CJS2" s="121"/>
      <c r="CJT2" s="121"/>
      <c r="CJU2" s="121"/>
      <c r="CJV2" s="121"/>
      <c r="CJW2" s="121"/>
      <c r="CJX2" s="121"/>
      <c r="CJY2" s="121"/>
      <c r="CJZ2" s="121"/>
      <c r="CKA2" s="121"/>
      <c r="CKB2" s="121"/>
      <c r="CKC2" s="121"/>
      <c r="CKD2" s="121"/>
      <c r="CKE2" s="121"/>
      <c r="CKF2" s="121"/>
      <c r="CKG2" s="121"/>
      <c r="CKH2" s="121"/>
      <c r="CKI2" s="121"/>
      <c r="CKJ2" s="121"/>
      <c r="CKK2" s="121"/>
      <c r="CKL2" s="121"/>
      <c r="CKM2" s="121"/>
      <c r="CKN2" s="121"/>
      <c r="CKO2" s="121"/>
      <c r="CKP2" s="121"/>
      <c r="CKQ2" s="121"/>
      <c r="CKR2" s="121"/>
      <c r="CKS2" s="121"/>
      <c r="CKT2" s="121"/>
      <c r="CKU2" s="121"/>
      <c r="CKV2" s="121"/>
      <c r="CKW2" s="121"/>
      <c r="CKX2" s="121"/>
      <c r="CKY2" s="121"/>
      <c r="CKZ2" s="121"/>
      <c r="CLA2" s="121"/>
      <c r="CLB2" s="121"/>
      <c r="CLC2" s="121"/>
      <c r="CLD2" s="121"/>
      <c r="CLE2" s="121"/>
      <c r="CLF2" s="121"/>
      <c r="CLG2" s="121"/>
      <c r="CLH2" s="121"/>
      <c r="CLI2" s="121"/>
      <c r="CLJ2" s="121"/>
      <c r="CLK2" s="121"/>
      <c r="CLL2" s="121"/>
      <c r="CLM2" s="121"/>
      <c r="CLN2" s="121"/>
      <c r="CLO2" s="121"/>
      <c r="CLP2" s="121"/>
      <c r="CLQ2" s="121"/>
      <c r="CLR2" s="121"/>
      <c r="CLS2" s="121"/>
      <c r="CLT2" s="121"/>
      <c r="CLU2" s="121"/>
      <c r="CLV2" s="121"/>
      <c r="CLW2" s="121"/>
      <c r="CLX2" s="121"/>
      <c r="CLY2" s="121"/>
      <c r="CLZ2" s="121"/>
      <c r="CMA2" s="121"/>
      <c r="CMB2" s="121"/>
      <c r="CMC2" s="121"/>
      <c r="CMD2" s="121"/>
      <c r="CME2" s="121"/>
      <c r="CMF2" s="121"/>
      <c r="CMG2" s="121"/>
      <c r="CMH2" s="121"/>
      <c r="CMI2" s="121"/>
      <c r="CMJ2" s="121"/>
      <c r="CMK2" s="121"/>
      <c r="CML2" s="121"/>
      <c r="CMM2" s="121"/>
      <c r="CMN2" s="121"/>
      <c r="CMO2" s="121"/>
      <c r="CMP2" s="121"/>
      <c r="CMQ2" s="121"/>
      <c r="CMR2" s="121"/>
      <c r="CMS2" s="121"/>
      <c r="CMT2" s="121"/>
      <c r="CMU2" s="121"/>
      <c r="CMV2" s="121"/>
      <c r="CMW2" s="121"/>
      <c r="CMX2" s="121"/>
      <c r="CMY2" s="121"/>
      <c r="CMZ2" s="121"/>
      <c r="CNA2" s="121"/>
      <c r="CNB2" s="121"/>
      <c r="CNC2" s="121"/>
      <c r="CND2" s="121"/>
      <c r="CNE2" s="121"/>
      <c r="CNF2" s="121"/>
      <c r="CNG2" s="121"/>
      <c r="CNH2" s="121"/>
      <c r="CNI2" s="121"/>
      <c r="CNJ2" s="121"/>
      <c r="CNK2" s="121"/>
      <c r="CNL2" s="121"/>
      <c r="CNM2" s="121"/>
      <c r="CNN2" s="121"/>
      <c r="CNO2" s="121"/>
      <c r="CNP2" s="121"/>
      <c r="CNQ2" s="121"/>
      <c r="CNR2" s="121"/>
      <c r="CNS2" s="121"/>
      <c r="CNT2" s="121"/>
      <c r="CNU2" s="121"/>
      <c r="CNV2" s="121"/>
      <c r="CNW2" s="121"/>
      <c r="CNX2" s="121"/>
      <c r="CNY2" s="121"/>
      <c r="CNZ2" s="121"/>
      <c r="COA2" s="121"/>
      <c r="COB2" s="121"/>
      <c r="COC2" s="121"/>
      <c r="COD2" s="121"/>
      <c r="COE2" s="121"/>
      <c r="COF2" s="121"/>
      <c r="COG2" s="121"/>
      <c r="COH2" s="121"/>
      <c r="COI2" s="121"/>
      <c r="COJ2" s="121"/>
      <c r="COK2" s="121"/>
      <c r="COL2" s="121"/>
      <c r="COM2" s="121"/>
      <c r="CON2" s="121"/>
      <c r="COO2" s="121"/>
      <c r="COP2" s="121"/>
      <c r="COQ2" s="121"/>
      <c r="COR2" s="121"/>
      <c r="COS2" s="121"/>
      <c r="COT2" s="121"/>
      <c r="COU2" s="121"/>
      <c r="COV2" s="121"/>
      <c r="COW2" s="121"/>
      <c r="COX2" s="121"/>
      <c r="COY2" s="121"/>
      <c r="COZ2" s="121"/>
      <c r="CPA2" s="121"/>
      <c r="CPB2" s="121"/>
      <c r="CPC2" s="121"/>
      <c r="CPD2" s="121"/>
      <c r="CPE2" s="121"/>
      <c r="CPF2" s="121"/>
      <c r="CPG2" s="121"/>
      <c r="CPH2" s="121"/>
      <c r="CPI2" s="121"/>
      <c r="CPJ2" s="121"/>
      <c r="CPK2" s="121"/>
      <c r="CPL2" s="121"/>
      <c r="CPM2" s="121"/>
      <c r="CPN2" s="121"/>
      <c r="CPO2" s="121"/>
      <c r="CPP2" s="121"/>
      <c r="CPQ2" s="121"/>
      <c r="CPR2" s="121"/>
      <c r="CPS2" s="121"/>
      <c r="CPT2" s="121"/>
      <c r="CPU2" s="121"/>
      <c r="CPV2" s="121"/>
      <c r="CPW2" s="121"/>
      <c r="CPX2" s="121"/>
      <c r="CPY2" s="121"/>
      <c r="CPZ2" s="121"/>
      <c r="CQA2" s="121"/>
      <c r="CQB2" s="121"/>
      <c r="CQC2" s="121"/>
      <c r="CQD2" s="121"/>
      <c r="CQE2" s="121"/>
      <c r="CQF2" s="121"/>
      <c r="CQG2" s="121"/>
      <c r="CQH2" s="121"/>
      <c r="CQI2" s="121"/>
      <c r="CQJ2" s="121"/>
      <c r="CQK2" s="121"/>
      <c r="CQL2" s="121"/>
      <c r="CQM2" s="121"/>
      <c r="CQN2" s="121"/>
      <c r="CQO2" s="121"/>
      <c r="CQP2" s="121"/>
      <c r="CQQ2" s="121"/>
      <c r="CQR2" s="121"/>
      <c r="CQS2" s="121"/>
      <c r="CQT2" s="121"/>
      <c r="CQU2" s="121"/>
      <c r="CQV2" s="121"/>
      <c r="CQW2" s="121"/>
      <c r="CQX2" s="121"/>
      <c r="CQY2" s="121"/>
      <c r="CQZ2" s="121"/>
      <c r="CRA2" s="121"/>
      <c r="CRB2" s="121"/>
      <c r="CRC2" s="121"/>
      <c r="CRD2" s="121"/>
      <c r="CRE2" s="121"/>
      <c r="CRF2" s="121"/>
      <c r="CRG2" s="121"/>
      <c r="CRH2" s="121"/>
      <c r="CRI2" s="121"/>
      <c r="CRJ2" s="121"/>
      <c r="CRK2" s="121"/>
      <c r="CRL2" s="121"/>
      <c r="CRM2" s="121"/>
      <c r="CRN2" s="121"/>
      <c r="CRO2" s="121"/>
      <c r="CRP2" s="121"/>
      <c r="CRQ2" s="121"/>
      <c r="CRR2" s="121"/>
      <c r="CRS2" s="121"/>
      <c r="CRT2" s="121"/>
      <c r="CRU2" s="121"/>
      <c r="CRV2" s="121"/>
      <c r="CRW2" s="121"/>
      <c r="CRX2" s="121"/>
      <c r="CRY2" s="121"/>
      <c r="CRZ2" s="121"/>
      <c r="CSA2" s="121"/>
      <c r="CSB2" s="121"/>
      <c r="CSC2" s="121"/>
      <c r="CSD2" s="121"/>
      <c r="CSE2" s="121"/>
      <c r="CSF2" s="121"/>
      <c r="CSG2" s="121"/>
      <c r="CSH2" s="121"/>
      <c r="CSI2" s="121"/>
      <c r="CSJ2" s="121"/>
      <c r="CSK2" s="121"/>
      <c r="CSL2" s="121"/>
      <c r="CSM2" s="121"/>
      <c r="CSN2" s="121"/>
      <c r="CSO2" s="121"/>
      <c r="CSP2" s="121"/>
      <c r="CSQ2" s="121"/>
      <c r="CSR2" s="121"/>
      <c r="CSS2" s="121"/>
      <c r="CST2" s="121"/>
      <c r="CSU2" s="121"/>
      <c r="CSV2" s="121"/>
      <c r="CSW2" s="121"/>
      <c r="CSX2" s="121"/>
      <c r="CSY2" s="121"/>
      <c r="CSZ2" s="121"/>
      <c r="CTA2" s="121"/>
      <c r="CTB2" s="121"/>
      <c r="CTC2" s="121"/>
      <c r="CTD2" s="121"/>
      <c r="CTE2" s="121"/>
      <c r="CTF2" s="121"/>
      <c r="CTG2" s="121"/>
      <c r="CTH2" s="121"/>
      <c r="CTI2" s="121"/>
      <c r="CTJ2" s="121"/>
      <c r="CTK2" s="121"/>
      <c r="CTL2" s="121"/>
      <c r="CTM2" s="121"/>
      <c r="CTN2" s="121"/>
      <c r="CTO2" s="121"/>
      <c r="CTP2" s="121"/>
      <c r="CTQ2" s="121"/>
      <c r="CTR2" s="121"/>
      <c r="CTS2" s="121"/>
      <c r="CTT2" s="121"/>
      <c r="CTU2" s="121"/>
      <c r="CTV2" s="121"/>
      <c r="CTW2" s="121"/>
      <c r="CTX2" s="121"/>
      <c r="CTY2" s="121"/>
      <c r="CTZ2" s="121"/>
      <c r="CUA2" s="121"/>
      <c r="CUB2" s="121"/>
      <c r="CUC2" s="121"/>
      <c r="CUD2" s="121"/>
      <c r="CUE2" s="121"/>
      <c r="CUF2" s="121"/>
      <c r="CUG2" s="121"/>
      <c r="CUH2" s="121"/>
      <c r="CUI2" s="121"/>
      <c r="CUJ2" s="121"/>
      <c r="CUK2" s="121"/>
      <c r="CUL2" s="121"/>
      <c r="CUM2" s="121"/>
      <c r="CUN2" s="121"/>
      <c r="CUO2" s="121"/>
      <c r="CUP2" s="121"/>
      <c r="CUQ2" s="121"/>
      <c r="CUR2" s="121"/>
      <c r="CUS2" s="121"/>
      <c r="CUT2" s="121"/>
      <c r="CUU2" s="121"/>
      <c r="CUV2" s="121"/>
      <c r="CUW2" s="121"/>
      <c r="CUX2" s="121"/>
      <c r="CUY2" s="121"/>
      <c r="CUZ2" s="121"/>
      <c r="CVA2" s="121"/>
      <c r="CVB2" s="121"/>
      <c r="CVC2" s="121"/>
      <c r="CVD2" s="121"/>
      <c r="CVE2" s="121"/>
      <c r="CVF2" s="121"/>
      <c r="CVG2" s="121"/>
      <c r="CVH2" s="121"/>
      <c r="CVI2" s="121"/>
      <c r="CVJ2" s="121"/>
      <c r="CVK2" s="121"/>
      <c r="CVL2" s="121"/>
      <c r="CVM2" s="121"/>
      <c r="CVN2" s="121"/>
      <c r="CVO2" s="121"/>
      <c r="CVP2" s="121"/>
      <c r="CVQ2" s="121"/>
      <c r="CVR2" s="121"/>
      <c r="CVS2" s="121"/>
      <c r="CVT2" s="121"/>
      <c r="CVU2" s="121"/>
      <c r="CVV2" s="121"/>
      <c r="CVW2" s="121"/>
      <c r="CVX2" s="121"/>
      <c r="CVY2" s="121"/>
      <c r="CVZ2" s="121"/>
      <c r="CWA2" s="121"/>
      <c r="CWB2" s="121"/>
      <c r="CWC2" s="121"/>
      <c r="CWD2" s="121"/>
      <c r="CWE2" s="121"/>
      <c r="CWF2" s="121"/>
      <c r="CWG2" s="121"/>
      <c r="CWH2" s="121"/>
      <c r="CWI2" s="121"/>
      <c r="CWJ2" s="121"/>
      <c r="CWK2" s="121"/>
      <c r="CWL2" s="121"/>
      <c r="CWM2" s="121"/>
      <c r="CWN2" s="121"/>
      <c r="CWO2" s="121"/>
      <c r="CWP2" s="121"/>
      <c r="CWQ2" s="121"/>
      <c r="CWR2" s="121"/>
      <c r="CWS2" s="121"/>
      <c r="CWT2" s="121"/>
      <c r="CWU2" s="121"/>
      <c r="CWV2" s="121"/>
      <c r="CWW2" s="121"/>
      <c r="CWX2" s="121"/>
      <c r="CWY2" s="121"/>
      <c r="CWZ2" s="121"/>
      <c r="CXA2" s="121"/>
      <c r="CXB2" s="121"/>
      <c r="CXC2" s="121"/>
      <c r="CXD2" s="121"/>
      <c r="CXE2" s="121"/>
      <c r="CXF2" s="121"/>
      <c r="CXG2" s="121"/>
      <c r="CXH2" s="121"/>
      <c r="CXI2" s="121"/>
      <c r="CXJ2" s="121"/>
      <c r="CXK2" s="121"/>
      <c r="CXL2" s="121"/>
      <c r="CXM2" s="121"/>
      <c r="CXN2" s="121"/>
      <c r="CXO2" s="121"/>
      <c r="CXP2" s="121"/>
      <c r="CXQ2" s="121"/>
      <c r="CXR2" s="121"/>
      <c r="CXS2" s="121"/>
      <c r="CXT2" s="121"/>
      <c r="CXU2" s="121"/>
      <c r="CXV2" s="121"/>
      <c r="CXW2" s="121"/>
      <c r="CXX2" s="121"/>
      <c r="CXY2" s="121"/>
      <c r="CXZ2" s="121"/>
      <c r="CYA2" s="121"/>
      <c r="CYB2" s="121"/>
      <c r="CYC2" s="121"/>
      <c r="CYD2" s="121"/>
      <c r="CYE2" s="121"/>
      <c r="CYF2" s="121"/>
      <c r="CYG2" s="121"/>
      <c r="CYH2" s="121"/>
      <c r="CYI2" s="121"/>
      <c r="CYJ2" s="121"/>
      <c r="CYK2" s="121"/>
      <c r="CYL2" s="121"/>
      <c r="CYM2" s="121"/>
      <c r="CYN2" s="121"/>
      <c r="CYO2" s="121"/>
      <c r="CYP2" s="121"/>
      <c r="CYQ2" s="121"/>
      <c r="CYR2" s="121"/>
      <c r="CYS2" s="121"/>
      <c r="CYT2" s="121"/>
      <c r="CYU2" s="121"/>
      <c r="CYV2" s="121"/>
      <c r="CYW2" s="121"/>
      <c r="CYX2" s="121"/>
      <c r="CYY2" s="121"/>
      <c r="CYZ2" s="121"/>
      <c r="CZA2" s="121"/>
      <c r="CZB2" s="121"/>
      <c r="CZC2" s="121"/>
      <c r="CZD2" s="121"/>
      <c r="CZE2" s="121"/>
      <c r="CZF2" s="121"/>
      <c r="CZG2" s="121"/>
      <c r="CZH2" s="121"/>
      <c r="CZI2" s="121"/>
      <c r="CZJ2" s="121"/>
      <c r="CZK2" s="121"/>
      <c r="CZL2" s="121"/>
      <c r="CZM2" s="121"/>
      <c r="CZN2" s="121"/>
      <c r="CZO2" s="121"/>
      <c r="CZP2" s="121"/>
      <c r="CZQ2" s="121"/>
      <c r="CZR2" s="121"/>
      <c r="CZS2" s="121"/>
      <c r="CZT2" s="121"/>
      <c r="CZU2" s="121"/>
      <c r="CZV2" s="121"/>
      <c r="CZW2" s="121"/>
      <c r="CZX2" s="121"/>
      <c r="CZY2" s="121"/>
      <c r="CZZ2" s="121"/>
      <c r="DAA2" s="121"/>
      <c r="DAB2" s="121"/>
      <c r="DAC2" s="121"/>
      <c r="DAD2" s="121"/>
      <c r="DAE2" s="121"/>
      <c r="DAF2" s="121"/>
      <c r="DAG2" s="121"/>
      <c r="DAH2" s="121"/>
      <c r="DAI2" s="121"/>
      <c r="DAJ2" s="121"/>
      <c r="DAK2" s="121"/>
      <c r="DAL2" s="121"/>
      <c r="DAM2" s="121"/>
      <c r="DAN2" s="121"/>
      <c r="DAO2" s="121"/>
      <c r="DAP2" s="121"/>
      <c r="DAQ2" s="121"/>
      <c r="DAR2" s="121"/>
      <c r="DAS2" s="121"/>
      <c r="DAT2" s="121"/>
      <c r="DAU2" s="121"/>
      <c r="DAV2" s="121"/>
      <c r="DAW2" s="121"/>
      <c r="DAX2" s="121"/>
      <c r="DAY2" s="121"/>
      <c r="DAZ2" s="121"/>
      <c r="DBA2" s="121"/>
      <c r="DBB2" s="121"/>
      <c r="DBC2" s="121"/>
      <c r="DBD2" s="121"/>
      <c r="DBE2" s="121"/>
      <c r="DBF2" s="121"/>
      <c r="DBG2" s="121"/>
      <c r="DBH2" s="121"/>
      <c r="DBI2" s="121"/>
      <c r="DBJ2" s="121"/>
      <c r="DBK2" s="121"/>
      <c r="DBL2" s="121"/>
      <c r="DBM2" s="121"/>
      <c r="DBN2" s="121"/>
      <c r="DBO2" s="121"/>
      <c r="DBP2" s="121"/>
      <c r="DBQ2" s="121"/>
      <c r="DBR2" s="121"/>
      <c r="DBS2" s="121"/>
      <c r="DBT2" s="121"/>
      <c r="DBU2" s="121"/>
      <c r="DBV2" s="121"/>
      <c r="DBW2" s="121"/>
      <c r="DBX2" s="121"/>
      <c r="DBY2" s="121"/>
      <c r="DBZ2" s="121"/>
      <c r="DCA2" s="121"/>
      <c r="DCB2" s="121"/>
      <c r="DCC2" s="121"/>
      <c r="DCD2" s="121"/>
      <c r="DCE2" s="121"/>
      <c r="DCF2" s="121"/>
      <c r="DCG2" s="121"/>
      <c r="DCH2" s="121"/>
      <c r="DCI2" s="121"/>
      <c r="DCJ2" s="121"/>
      <c r="DCK2" s="121"/>
      <c r="DCL2" s="121"/>
      <c r="DCM2" s="121"/>
      <c r="DCN2" s="121"/>
      <c r="DCO2" s="121"/>
      <c r="DCP2" s="121"/>
      <c r="DCQ2" s="121"/>
      <c r="DCR2" s="121"/>
      <c r="DCS2" s="121"/>
      <c r="DCT2" s="121"/>
      <c r="DCU2" s="121"/>
      <c r="DCV2" s="121"/>
      <c r="DCW2" s="121"/>
      <c r="DCX2" s="121"/>
      <c r="DCY2" s="121"/>
      <c r="DCZ2" s="121"/>
      <c r="DDA2" s="121"/>
      <c r="DDB2" s="121"/>
      <c r="DDC2" s="121"/>
      <c r="DDD2" s="121"/>
      <c r="DDE2" s="121"/>
      <c r="DDF2" s="121"/>
      <c r="DDG2" s="121"/>
      <c r="DDH2" s="121"/>
      <c r="DDI2" s="121"/>
      <c r="DDJ2" s="121"/>
      <c r="DDK2" s="121"/>
      <c r="DDL2" s="121"/>
      <c r="DDM2" s="121"/>
      <c r="DDN2" s="121"/>
      <c r="DDO2" s="121"/>
      <c r="DDP2" s="121"/>
      <c r="DDQ2" s="121"/>
      <c r="DDR2" s="121"/>
      <c r="DDS2" s="121"/>
      <c r="DDT2" s="121"/>
      <c r="DDU2" s="121"/>
      <c r="DDV2" s="121"/>
      <c r="DDW2" s="121"/>
      <c r="DDX2" s="121"/>
      <c r="DDY2" s="121"/>
      <c r="DDZ2" s="121"/>
      <c r="DEA2" s="121"/>
      <c r="DEB2" s="121"/>
      <c r="DEC2" s="121"/>
      <c r="DED2" s="121"/>
      <c r="DEE2" s="121"/>
      <c r="DEF2" s="121"/>
      <c r="DEG2" s="121"/>
      <c r="DEH2" s="121"/>
      <c r="DEI2" s="121"/>
      <c r="DEJ2" s="121"/>
      <c r="DEK2" s="121"/>
      <c r="DEL2" s="121"/>
      <c r="DEM2" s="121"/>
      <c r="DEN2" s="121"/>
      <c r="DEO2" s="121"/>
      <c r="DEP2" s="121"/>
      <c r="DEQ2" s="121"/>
      <c r="DER2" s="121"/>
      <c r="DES2" s="121"/>
      <c r="DET2" s="121"/>
      <c r="DEU2" s="121"/>
      <c r="DEV2" s="121"/>
      <c r="DEW2" s="121"/>
      <c r="DEX2" s="121"/>
      <c r="DEY2" s="121"/>
      <c r="DEZ2" s="121"/>
      <c r="DFA2" s="121"/>
      <c r="DFB2" s="121"/>
      <c r="DFC2" s="121"/>
      <c r="DFD2" s="121"/>
      <c r="DFE2" s="121"/>
      <c r="DFF2" s="121"/>
      <c r="DFG2" s="121"/>
      <c r="DFH2" s="121"/>
      <c r="DFI2" s="121"/>
      <c r="DFJ2" s="121"/>
      <c r="DFK2" s="121"/>
      <c r="DFL2" s="121"/>
      <c r="DFM2" s="121"/>
      <c r="DFN2" s="121"/>
      <c r="DFO2" s="121"/>
      <c r="DFP2" s="121"/>
      <c r="DFQ2" s="121"/>
      <c r="DFR2" s="121"/>
      <c r="DFS2" s="121"/>
      <c r="DFT2" s="121"/>
      <c r="DFU2" s="121"/>
      <c r="DFV2" s="121"/>
      <c r="DFW2" s="121"/>
      <c r="DFX2" s="121"/>
      <c r="DFY2" s="121"/>
      <c r="DFZ2" s="121"/>
      <c r="DGA2" s="121"/>
      <c r="DGB2" s="121"/>
      <c r="DGC2" s="121"/>
      <c r="DGD2" s="121"/>
      <c r="DGE2" s="121"/>
      <c r="DGF2" s="121"/>
      <c r="DGG2" s="121"/>
      <c r="DGH2" s="121"/>
      <c r="DGI2" s="121"/>
      <c r="DGJ2" s="121"/>
      <c r="DGK2" s="121"/>
      <c r="DGL2" s="121"/>
      <c r="DGM2" s="121"/>
      <c r="DGN2" s="121"/>
      <c r="DGO2" s="121"/>
      <c r="DGP2" s="121"/>
      <c r="DGQ2" s="121"/>
      <c r="DGR2" s="121"/>
      <c r="DGS2" s="121"/>
      <c r="DGT2" s="121"/>
      <c r="DGU2" s="121"/>
      <c r="DGV2" s="121"/>
      <c r="DGW2" s="121"/>
      <c r="DGX2" s="121"/>
      <c r="DGY2" s="121"/>
      <c r="DGZ2" s="121"/>
      <c r="DHA2" s="121"/>
      <c r="DHB2" s="121"/>
      <c r="DHC2" s="121"/>
      <c r="DHD2" s="121"/>
      <c r="DHE2" s="121"/>
      <c r="DHF2" s="121"/>
      <c r="DHG2" s="121"/>
      <c r="DHH2" s="121"/>
      <c r="DHI2" s="121"/>
      <c r="DHJ2" s="121"/>
      <c r="DHK2" s="121"/>
      <c r="DHL2" s="121"/>
      <c r="DHM2" s="121"/>
      <c r="DHN2" s="121"/>
      <c r="DHO2" s="121"/>
      <c r="DHP2" s="121"/>
      <c r="DHQ2" s="121"/>
      <c r="DHR2" s="121"/>
      <c r="DHS2" s="121"/>
      <c r="DHT2" s="121"/>
      <c r="DHU2" s="121"/>
      <c r="DHV2" s="121"/>
      <c r="DHW2" s="121"/>
      <c r="DHX2" s="121"/>
      <c r="DHY2" s="121"/>
      <c r="DHZ2" s="121"/>
      <c r="DIA2" s="121"/>
      <c r="DIB2" s="121"/>
      <c r="DIC2" s="121"/>
      <c r="DID2" s="121"/>
      <c r="DIE2" s="121"/>
      <c r="DIF2" s="121"/>
      <c r="DIG2" s="121"/>
      <c r="DIH2" s="121"/>
      <c r="DII2" s="121"/>
      <c r="DIJ2" s="121"/>
      <c r="DIK2" s="121"/>
      <c r="DIL2" s="121"/>
      <c r="DIM2" s="121"/>
      <c r="DIN2" s="121"/>
      <c r="DIO2" s="121"/>
      <c r="DIP2" s="121"/>
      <c r="DIQ2" s="121"/>
      <c r="DIR2" s="121"/>
      <c r="DIS2" s="121"/>
      <c r="DIT2" s="121"/>
      <c r="DIU2" s="121"/>
      <c r="DIV2" s="121"/>
      <c r="DIW2" s="121"/>
      <c r="DIX2" s="121"/>
      <c r="DIY2" s="121"/>
      <c r="DIZ2" s="121"/>
      <c r="DJA2" s="121"/>
      <c r="DJB2" s="121"/>
      <c r="DJC2" s="121"/>
      <c r="DJD2" s="121"/>
      <c r="DJE2" s="121"/>
      <c r="DJF2" s="121"/>
      <c r="DJG2" s="121"/>
      <c r="DJH2" s="121"/>
      <c r="DJI2" s="121"/>
      <c r="DJJ2" s="121"/>
      <c r="DJK2" s="121"/>
      <c r="DJL2" s="121"/>
      <c r="DJM2" s="121"/>
      <c r="DJN2" s="121"/>
      <c r="DJO2" s="121"/>
      <c r="DJP2" s="121"/>
      <c r="DJQ2" s="121"/>
      <c r="DJR2" s="121"/>
      <c r="DJS2" s="121"/>
      <c r="DJT2" s="121"/>
      <c r="DJU2" s="121"/>
      <c r="DJV2" s="121"/>
      <c r="DJW2" s="121"/>
      <c r="DJX2" s="121"/>
      <c r="DJY2" s="121"/>
      <c r="DJZ2" s="121"/>
      <c r="DKA2" s="121"/>
      <c r="DKB2" s="121"/>
      <c r="DKC2" s="121"/>
      <c r="DKD2" s="121"/>
      <c r="DKE2" s="121"/>
      <c r="DKF2" s="121"/>
      <c r="DKG2" s="121"/>
      <c r="DKH2" s="121"/>
      <c r="DKI2" s="121"/>
      <c r="DKJ2" s="121"/>
      <c r="DKK2" s="121"/>
      <c r="DKL2" s="121"/>
      <c r="DKM2" s="121"/>
      <c r="DKN2" s="121"/>
      <c r="DKO2" s="121"/>
      <c r="DKP2" s="121"/>
      <c r="DKQ2" s="121"/>
      <c r="DKR2" s="121"/>
      <c r="DKS2" s="121"/>
      <c r="DKT2" s="121"/>
      <c r="DKU2" s="121"/>
      <c r="DKV2" s="121"/>
      <c r="DKW2" s="121"/>
      <c r="DKX2" s="121"/>
      <c r="DKY2" s="121"/>
      <c r="DKZ2" s="121"/>
      <c r="DLA2" s="121"/>
      <c r="DLB2" s="121"/>
      <c r="DLC2" s="121"/>
      <c r="DLD2" s="121"/>
      <c r="DLE2" s="121"/>
      <c r="DLF2" s="121"/>
      <c r="DLG2" s="121"/>
      <c r="DLH2" s="121"/>
      <c r="DLI2" s="121"/>
      <c r="DLJ2" s="121"/>
      <c r="DLK2" s="121"/>
      <c r="DLL2" s="121"/>
      <c r="DLM2" s="121"/>
      <c r="DLN2" s="121"/>
      <c r="DLO2" s="121"/>
      <c r="DLP2" s="121"/>
      <c r="DLQ2" s="121"/>
      <c r="DLR2" s="121"/>
      <c r="DLS2" s="121"/>
      <c r="DLT2" s="121"/>
      <c r="DLU2" s="121"/>
      <c r="DLV2" s="121"/>
      <c r="DLW2" s="121"/>
      <c r="DLX2" s="121"/>
      <c r="DLY2" s="121"/>
      <c r="DLZ2" s="121"/>
      <c r="DMA2" s="121"/>
      <c r="DMB2" s="121"/>
      <c r="DMC2" s="121"/>
      <c r="DMD2" s="121"/>
      <c r="DME2" s="121"/>
      <c r="DMF2" s="121"/>
      <c r="DMG2" s="121"/>
      <c r="DMH2" s="121"/>
      <c r="DMI2" s="121"/>
      <c r="DMJ2" s="121"/>
      <c r="DMK2" s="121"/>
      <c r="DML2" s="121"/>
      <c r="DMM2" s="121"/>
      <c r="DMN2" s="121"/>
      <c r="DMO2" s="121"/>
      <c r="DMP2" s="121"/>
      <c r="DMQ2" s="121"/>
      <c r="DMR2" s="121"/>
      <c r="DMS2" s="121"/>
      <c r="DMT2" s="121"/>
      <c r="DMU2" s="121"/>
      <c r="DMV2" s="121"/>
      <c r="DMW2" s="121"/>
      <c r="DMX2" s="121"/>
      <c r="DMY2" s="121"/>
      <c r="DMZ2" s="121"/>
      <c r="DNA2" s="121"/>
      <c r="DNB2" s="121"/>
      <c r="DNC2" s="121"/>
      <c r="DND2" s="121"/>
      <c r="DNE2" s="121"/>
      <c r="DNF2" s="121"/>
      <c r="DNG2" s="121"/>
      <c r="DNH2" s="121"/>
      <c r="DNI2" s="121"/>
      <c r="DNJ2" s="121"/>
      <c r="DNK2" s="121"/>
      <c r="DNL2" s="121"/>
      <c r="DNM2" s="121"/>
      <c r="DNN2" s="121"/>
      <c r="DNO2" s="121"/>
      <c r="DNP2" s="121"/>
      <c r="DNQ2" s="121"/>
      <c r="DNR2" s="121"/>
      <c r="DNS2" s="121"/>
      <c r="DNT2" s="121"/>
      <c r="DNU2" s="121"/>
      <c r="DNV2" s="121"/>
      <c r="DNW2" s="121"/>
      <c r="DNX2" s="121"/>
      <c r="DNY2" s="121"/>
      <c r="DNZ2" s="121"/>
      <c r="DOA2" s="121"/>
      <c r="DOB2" s="121"/>
      <c r="DOC2" s="121"/>
      <c r="DOD2" s="121"/>
      <c r="DOE2" s="121"/>
      <c r="DOF2" s="121"/>
      <c r="DOG2" s="121"/>
      <c r="DOH2" s="121"/>
      <c r="DOI2" s="121"/>
      <c r="DOJ2" s="121"/>
      <c r="DOK2" s="121"/>
      <c r="DOL2" s="121"/>
      <c r="DOM2" s="121"/>
      <c r="DON2" s="121"/>
      <c r="DOO2" s="121"/>
      <c r="DOP2" s="121"/>
      <c r="DOQ2" s="121"/>
      <c r="DOR2" s="121"/>
      <c r="DOS2" s="121"/>
      <c r="DOT2" s="121"/>
      <c r="DOU2" s="121"/>
      <c r="DOV2" s="121"/>
      <c r="DOW2" s="121"/>
      <c r="DOX2" s="121"/>
      <c r="DOY2" s="121"/>
      <c r="DOZ2" s="121"/>
      <c r="DPA2" s="121"/>
      <c r="DPB2" s="121"/>
      <c r="DPC2" s="121"/>
      <c r="DPD2" s="121"/>
      <c r="DPE2" s="121"/>
      <c r="DPF2" s="121"/>
      <c r="DPG2" s="121"/>
      <c r="DPH2" s="121"/>
      <c r="DPI2" s="121"/>
      <c r="DPJ2" s="121"/>
      <c r="DPK2" s="121"/>
      <c r="DPL2" s="121"/>
      <c r="DPM2" s="121"/>
      <c r="DPN2" s="121"/>
      <c r="DPO2" s="121"/>
      <c r="DPP2" s="121"/>
      <c r="DPQ2" s="121"/>
      <c r="DPR2" s="121"/>
      <c r="DPS2" s="121"/>
      <c r="DPT2" s="121"/>
      <c r="DPU2" s="121"/>
      <c r="DPV2" s="121"/>
      <c r="DPW2" s="121"/>
      <c r="DPX2" s="121"/>
      <c r="DPY2" s="121"/>
      <c r="DPZ2" s="121"/>
      <c r="DQA2" s="121"/>
      <c r="DQB2" s="121"/>
      <c r="DQC2" s="121"/>
      <c r="DQD2" s="121"/>
      <c r="DQE2" s="121"/>
      <c r="DQF2" s="121"/>
      <c r="DQG2" s="121"/>
      <c r="DQH2" s="121"/>
      <c r="DQI2" s="121"/>
      <c r="DQJ2" s="121"/>
      <c r="DQK2" s="121"/>
      <c r="DQL2" s="121"/>
      <c r="DQM2" s="121"/>
      <c r="DQN2" s="121"/>
      <c r="DQO2" s="121"/>
      <c r="DQP2" s="121"/>
      <c r="DQQ2" s="121"/>
      <c r="DQR2" s="121"/>
      <c r="DQS2" s="121"/>
      <c r="DQT2" s="121"/>
      <c r="DQU2" s="121"/>
      <c r="DQV2" s="121"/>
      <c r="DQW2" s="121"/>
      <c r="DQX2" s="121"/>
      <c r="DQY2" s="121"/>
      <c r="DQZ2" s="121"/>
      <c r="DRA2" s="121"/>
      <c r="DRB2" s="121"/>
      <c r="DRC2" s="121"/>
      <c r="DRD2" s="121"/>
      <c r="DRE2" s="121"/>
      <c r="DRF2" s="121"/>
      <c r="DRG2" s="121"/>
      <c r="DRH2" s="121"/>
      <c r="DRI2" s="121"/>
      <c r="DRJ2" s="121"/>
      <c r="DRK2" s="121"/>
      <c r="DRL2" s="121"/>
      <c r="DRM2" s="121"/>
      <c r="DRN2" s="121"/>
      <c r="DRO2" s="121"/>
      <c r="DRP2" s="121"/>
      <c r="DRQ2" s="121"/>
      <c r="DRR2" s="121"/>
      <c r="DRS2" s="121"/>
      <c r="DRT2" s="121"/>
      <c r="DRU2" s="121"/>
      <c r="DRV2" s="121"/>
      <c r="DRW2" s="121"/>
      <c r="DRX2" s="121"/>
      <c r="DRY2" s="121"/>
      <c r="DRZ2" s="121"/>
      <c r="DSA2" s="121"/>
      <c r="DSB2" s="121"/>
      <c r="DSC2" s="121"/>
      <c r="DSD2" s="121"/>
      <c r="DSE2" s="121"/>
      <c r="DSF2" s="121"/>
      <c r="DSG2" s="121"/>
      <c r="DSH2" s="121"/>
      <c r="DSI2" s="121"/>
      <c r="DSJ2" s="121"/>
      <c r="DSK2" s="121"/>
      <c r="DSL2" s="121"/>
      <c r="DSM2" s="121"/>
      <c r="DSN2" s="121"/>
      <c r="DSO2" s="121"/>
      <c r="DSP2" s="121"/>
      <c r="DSQ2" s="121"/>
      <c r="DSR2" s="121"/>
      <c r="DSS2" s="121"/>
      <c r="DST2" s="121"/>
      <c r="DSU2" s="121"/>
      <c r="DSV2" s="121"/>
      <c r="DSW2" s="121"/>
      <c r="DSX2" s="121"/>
      <c r="DSY2" s="121"/>
      <c r="DSZ2" s="121"/>
      <c r="DTA2" s="121"/>
      <c r="DTB2" s="121"/>
      <c r="DTC2" s="121"/>
      <c r="DTD2" s="121"/>
      <c r="DTE2" s="121"/>
      <c r="DTF2" s="121"/>
      <c r="DTG2" s="121"/>
      <c r="DTH2" s="121"/>
      <c r="DTI2" s="121"/>
      <c r="DTJ2" s="121"/>
      <c r="DTK2" s="121"/>
      <c r="DTL2" s="121"/>
      <c r="DTM2" s="121"/>
      <c r="DTN2" s="121"/>
      <c r="DTO2" s="121"/>
      <c r="DTP2" s="121"/>
      <c r="DTQ2" s="121"/>
      <c r="DTR2" s="121"/>
      <c r="DTS2" s="121"/>
      <c r="DTT2" s="121"/>
      <c r="DTU2" s="121"/>
      <c r="DTV2" s="121"/>
      <c r="DTW2" s="121"/>
      <c r="DTX2" s="121"/>
      <c r="DTY2" s="121"/>
      <c r="DTZ2" s="121"/>
      <c r="DUA2" s="121"/>
      <c r="DUB2" s="121"/>
      <c r="DUC2" s="121"/>
      <c r="DUD2" s="121"/>
      <c r="DUE2" s="121"/>
      <c r="DUF2" s="121"/>
      <c r="DUG2" s="121"/>
      <c r="DUH2" s="121"/>
      <c r="DUI2" s="121"/>
      <c r="DUJ2" s="121"/>
      <c r="DUK2" s="121"/>
      <c r="DUL2" s="121"/>
      <c r="DUM2" s="121"/>
      <c r="DUN2" s="121"/>
      <c r="DUO2" s="121"/>
      <c r="DUP2" s="121"/>
      <c r="DUQ2" s="121"/>
      <c r="DUR2" s="121"/>
      <c r="DUS2" s="121"/>
      <c r="DUT2" s="121"/>
      <c r="DUU2" s="121"/>
      <c r="DUV2" s="121"/>
      <c r="DUW2" s="121"/>
      <c r="DUX2" s="121"/>
      <c r="DUY2" s="121"/>
      <c r="DUZ2" s="121"/>
      <c r="DVA2" s="121"/>
      <c r="DVB2" s="121"/>
      <c r="DVC2" s="121"/>
      <c r="DVD2" s="121"/>
      <c r="DVE2" s="121"/>
      <c r="DVF2" s="121"/>
      <c r="DVG2" s="121"/>
      <c r="DVH2" s="121"/>
      <c r="DVI2" s="121"/>
      <c r="DVJ2" s="121"/>
      <c r="DVK2" s="121"/>
      <c r="DVL2" s="121"/>
      <c r="DVM2" s="121"/>
      <c r="DVN2" s="121"/>
      <c r="DVO2" s="121"/>
      <c r="DVP2" s="121"/>
      <c r="DVQ2" s="121"/>
      <c r="DVR2" s="121"/>
      <c r="DVS2" s="121"/>
      <c r="DVT2" s="121"/>
      <c r="DVU2" s="121"/>
      <c r="DVV2" s="121"/>
      <c r="DVW2" s="121"/>
      <c r="DVX2" s="121"/>
      <c r="DVY2" s="121"/>
      <c r="DVZ2" s="121"/>
      <c r="DWA2" s="121"/>
      <c r="DWB2" s="121"/>
      <c r="DWC2" s="121"/>
      <c r="DWD2" s="121"/>
      <c r="DWE2" s="121"/>
      <c r="DWF2" s="121"/>
      <c r="DWG2" s="121"/>
      <c r="DWH2" s="121"/>
      <c r="DWI2" s="121"/>
      <c r="DWJ2" s="121"/>
      <c r="DWK2" s="121"/>
      <c r="DWL2" s="121"/>
      <c r="DWM2" s="121"/>
      <c r="DWN2" s="121"/>
      <c r="DWO2" s="121"/>
      <c r="DWP2" s="121"/>
      <c r="DWQ2" s="121"/>
      <c r="DWR2" s="121"/>
      <c r="DWS2" s="121"/>
      <c r="DWT2" s="121"/>
      <c r="DWU2" s="121"/>
      <c r="DWV2" s="121"/>
      <c r="DWW2" s="121"/>
      <c r="DWX2" s="121"/>
      <c r="DWY2" s="121"/>
      <c r="DWZ2" s="121"/>
      <c r="DXA2" s="121"/>
      <c r="DXB2" s="121"/>
      <c r="DXC2" s="121"/>
      <c r="DXD2" s="121"/>
      <c r="DXE2" s="121"/>
      <c r="DXF2" s="121"/>
      <c r="DXG2" s="121"/>
      <c r="DXH2" s="121"/>
      <c r="DXI2" s="121"/>
      <c r="DXJ2" s="121"/>
      <c r="DXK2" s="121"/>
      <c r="DXL2" s="121"/>
      <c r="DXM2" s="121"/>
      <c r="DXN2" s="121"/>
      <c r="DXO2" s="121"/>
      <c r="DXP2" s="121"/>
      <c r="DXQ2" s="121"/>
      <c r="DXR2" s="121"/>
      <c r="DXS2" s="121"/>
      <c r="DXT2" s="121"/>
      <c r="DXU2" s="121"/>
      <c r="DXV2" s="121"/>
      <c r="DXW2" s="121"/>
      <c r="DXX2" s="121"/>
      <c r="DXY2" s="121"/>
      <c r="DXZ2" s="121"/>
      <c r="DYA2" s="121"/>
      <c r="DYB2" s="121"/>
      <c r="DYC2" s="121"/>
      <c r="DYD2" s="121"/>
      <c r="DYE2" s="121"/>
      <c r="DYF2" s="121"/>
      <c r="DYG2" s="121"/>
      <c r="DYH2" s="121"/>
      <c r="DYI2" s="121"/>
      <c r="DYJ2" s="121"/>
      <c r="DYK2" s="121"/>
      <c r="DYL2" s="121"/>
      <c r="DYM2" s="121"/>
      <c r="DYN2" s="121"/>
      <c r="DYO2" s="121"/>
      <c r="DYP2" s="121"/>
      <c r="DYQ2" s="121"/>
      <c r="DYR2" s="121"/>
      <c r="DYS2" s="121"/>
      <c r="DYT2" s="121"/>
      <c r="DYU2" s="121"/>
      <c r="DYV2" s="121"/>
      <c r="DYW2" s="121"/>
      <c r="DYX2" s="121"/>
      <c r="DYY2" s="121"/>
      <c r="DYZ2" s="121"/>
      <c r="DZA2" s="121"/>
      <c r="DZB2" s="121"/>
      <c r="DZC2" s="121"/>
      <c r="DZD2" s="121"/>
      <c r="DZE2" s="121"/>
      <c r="DZF2" s="121"/>
      <c r="DZG2" s="121"/>
      <c r="DZH2" s="121"/>
      <c r="DZI2" s="121"/>
      <c r="DZJ2" s="121"/>
      <c r="DZK2" s="121"/>
      <c r="DZL2" s="121"/>
      <c r="DZM2" s="121"/>
      <c r="DZN2" s="121"/>
      <c r="DZO2" s="121"/>
      <c r="DZP2" s="121"/>
      <c r="DZQ2" s="121"/>
      <c r="DZR2" s="121"/>
      <c r="DZS2" s="121"/>
      <c r="DZT2" s="121"/>
      <c r="DZU2" s="121"/>
      <c r="DZV2" s="121"/>
      <c r="DZW2" s="121"/>
      <c r="DZX2" s="121"/>
      <c r="DZY2" s="121"/>
      <c r="DZZ2" s="121"/>
      <c r="EAA2" s="121"/>
      <c r="EAB2" s="121"/>
      <c r="EAC2" s="121"/>
      <c r="EAD2" s="121"/>
      <c r="EAE2" s="121"/>
      <c r="EAF2" s="121"/>
      <c r="EAG2" s="121"/>
      <c r="EAH2" s="121"/>
      <c r="EAI2" s="121"/>
      <c r="EAJ2" s="121"/>
      <c r="EAK2" s="121"/>
      <c r="EAL2" s="121"/>
      <c r="EAM2" s="121"/>
      <c r="EAN2" s="121"/>
      <c r="EAO2" s="121"/>
      <c r="EAP2" s="121"/>
      <c r="EAQ2" s="121"/>
      <c r="EAR2" s="121"/>
      <c r="EAS2" s="121"/>
      <c r="EAT2" s="121"/>
      <c r="EAU2" s="121"/>
      <c r="EAV2" s="121"/>
      <c r="EAW2" s="121"/>
      <c r="EAX2" s="121"/>
      <c r="EAY2" s="121"/>
      <c r="EAZ2" s="121"/>
      <c r="EBA2" s="121"/>
      <c r="EBB2" s="121"/>
      <c r="EBC2" s="121"/>
      <c r="EBD2" s="121"/>
      <c r="EBE2" s="121"/>
      <c r="EBF2" s="121"/>
      <c r="EBG2" s="121"/>
      <c r="EBH2" s="121"/>
      <c r="EBI2" s="121"/>
      <c r="EBJ2" s="121"/>
      <c r="EBK2" s="121"/>
      <c r="EBL2" s="121"/>
      <c r="EBM2" s="121"/>
      <c r="EBN2" s="121"/>
      <c r="EBO2" s="121"/>
      <c r="EBP2" s="121"/>
      <c r="EBQ2" s="121"/>
      <c r="EBR2" s="121"/>
      <c r="EBS2" s="121"/>
      <c r="EBT2" s="121"/>
      <c r="EBU2" s="121"/>
      <c r="EBV2" s="121"/>
      <c r="EBW2" s="121"/>
      <c r="EBX2" s="121"/>
      <c r="EBY2" s="121"/>
      <c r="EBZ2" s="121"/>
      <c r="ECA2" s="121"/>
      <c r="ECB2" s="121"/>
      <c r="ECC2" s="121"/>
      <c r="ECD2" s="121"/>
      <c r="ECE2" s="121"/>
      <c r="ECF2" s="121"/>
      <c r="ECG2" s="121"/>
      <c r="ECH2" s="121"/>
      <c r="ECI2" s="121"/>
      <c r="ECJ2" s="121"/>
      <c r="ECK2" s="121"/>
      <c r="ECL2" s="121"/>
      <c r="ECM2" s="121"/>
      <c r="ECN2" s="121"/>
      <c r="ECO2" s="121"/>
      <c r="ECP2" s="121"/>
      <c r="ECQ2" s="121"/>
      <c r="ECR2" s="121"/>
      <c r="ECS2" s="121"/>
      <c r="ECT2" s="121"/>
      <c r="ECU2" s="121"/>
      <c r="ECV2" s="121"/>
      <c r="ECW2" s="121"/>
      <c r="ECX2" s="121"/>
      <c r="ECY2" s="121"/>
      <c r="ECZ2" s="121"/>
      <c r="EDA2" s="121"/>
      <c r="EDB2" s="121"/>
      <c r="EDC2" s="121"/>
      <c r="EDD2" s="121"/>
      <c r="EDE2" s="121"/>
      <c r="EDF2" s="121"/>
      <c r="EDG2" s="121"/>
      <c r="EDH2" s="121"/>
      <c r="EDI2" s="121"/>
      <c r="EDJ2" s="121"/>
      <c r="EDK2" s="121"/>
      <c r="EDL2" s="121"/>
      <c r="EDM2" s="121"/>
      <c r="EDN2" s="121"/>
      <c r="EDO2" s="121"/>
      <c r="EDP2" s="121"/>
      <c r="EDQ2" s="121"/>
      <c r="EDR2" s="121"/>
      <c r="EDS2" s="121"/>
      <c r="EDT2" s="121"/>
      <c r="EDU2" s="121"/>
      <c r="EDV2" s="121"/>
      <c r="EDW2" s="121"/>
      <c r="EDX2" s="121"/>
      <c r="EDY2" s="121"/>
      <c r="EDZ2" s="121"/>
      <c r="EEA2" s="121"/>
      <c r="EEB2" s="121"/>
      <c r="EEC2" s="121"/>
      <c r="EED2" s="121"/>
      <c r="EEE2" s="121"/>
      <c r="EEF2" s="121"/>
      <c r="EEG2" s="121"/>
      <c r="EEH2" s="121"/>
      <c r="EEI2" s="121"/>
      <c r="EEJ2" s="121"/>
      <c r="EEK2" s="121"/>
      <c r="EEL2" s="121"/>
      <c r="EEM2" s="121"/>
      <c r="EEN2" s="121"/>
      <c r="EEO2" s="121"/>
      <c r="EEP2" s="121"/>
      <c r="EEQ2" s="121"/>
      <c r="EER2" s="121"/>
      <c r="EES2" s="121"/>
      <c r="EET2" s="121"/>
      <c r="EEU2" s="121"/>
      <c r="EEV2" s="121"/>
      <c r="EEW2" s="121"/>
      <c r="EEX2" s="121"/>
      <c r="EEY2" s="121"/>
      <c r="EEZ2" s="121"/>
      <c r="EFA2" s="121"/>
      <c r="EFB2" s="121"/>
      <c r="EFC2" s="121"/>
      <c r="EFD2" s="121"/>
      <c r="EFE2" s="121"/>
      <c r="EFF2" s="121"/>
      <c r="EFG2" s="121"/>
      <c r="EFH2" s="121"/>
      <c r="EFI2" s="121"/>
      <c r="EFJ2" s="121"/>
      <c r="EFK2" s="121"/>
      <c r="EFL2" s="121"/>
      <c r="EFM2" s="121"/>
      <c r="EFN2" s="121"/>
      <c r="EFO2" s="121"/>
      <c r="EFP2" s="121"/>
      <c r="EFQ2" s="121"/>
      <c r="EFR2" s="121"/>
      <c r="EFS2" s="121"/>
      <c r="EFT2" s="121"/>
      <c r="EFU2" s="121"/>
      <c r="EFV2" s="121"/>
      <c r="EFW2" s="121"/>
      <c r="EFX2" s="121"/>
      <c r="EFY2" s="121"/>
      <c r="EFZ2" s="121"/>
      <c r="EGA2" s="121"/>
      <c r="EGB2" s="121"/>
      <c r="EGC2" s="121"/>
      <c r="EGD2" s="121"/>
      <c r="EGE2" s="121"/>
      <c r="EGF2" s="121"/>
      <c r="EGG2" s="121"/>
      <c r="EGH2" s="121"/>
      <c r="EGI2" s="121"/>
      <c r="EGJ2" s="121"/>
      <c r="EGK2" s="121"/>
      <c r="EGL2" s="121"/>
      <c r="EGM2" s="121"/>
      <c r="EGN2" s="121"/>
      <c r="EGO2" s="121"/>
      <c r="EGP2" s="121"/>
      <c r="EGQ2" s="121"/>
      <c r="EGR2" s="121"/>
      <c r="EGS2" s="121"/>
      <c r="EGT2" s="121"/>
      <c r="EGU2" s="121"/>
      <c r="EGV2" s="121"/>
      <c r="EGW2" s="121"/>
      <c r="EGX2" s="121"/>
      <c r="EGY2" s="121"/>
      <c r="EGZ2" s="121"/>
      <c r="EHA2" s="121"/>
      <c r="EHB2" s="121"/>
      <c r="EHC2" s="121"/>
      <c r="EHD2" s="121"/>
      <c r="EHE2" s="121"/>
      <c r="EHF2" s="121"/>
      <c r="EHG2" s="121"/>
      <c r="EHH2" s="121"/>
      <c r="EHI2" s="121"/>
      <c r="EHJ2" s="121"/>
      <c r="EHK2" s="121"/>
      <c r="EHL2" s="121"/>
      <c r="EHM2" s="121"/>
      <c r="EHN2" s="121"/>
      <c r="EHO2" s="121"/>
      <c r="EHP2" s="121"/>
      <c r="EHQ2" s="121"/>
      <c r="EHR2" s="121"/>
      <c r="EHS2" s="121"/>
      <c r="EHT2" s="121"/>
      <c r="EHU2" s="121"/>
      <c r="EHV2" s="121"/>
      <c r="EHW2" s="121"/>
      <c r="EHX2" s="121"/>
      <c r="EHY2" s="121"/>
      <c r="EHZ2" s="121"/>
      <c r="EIA2" s="121"/>
      <c r="EIB2" s="121"/>
      <c r="EIC2" s="121"/>
      <c r="EID2" s="121"/>
      <c r="EIE2" s="121"/>
      <c r="EIF2" s="121"/>
      <c r="EIG2" s="121"/>
      <c r="EIH2" s="121"/>
      <c r="EII2" s="121"/>
      <c r="EIJ2" s="121"/>
      <c r="EIK2" s="121"/>
      <c r="EIL2" s="121"/>
      <c r="EIM2" s="121"/>
      <c r="EIN2" s="121"/>
      <c r="EIO2" s="121"/>
      <c r="EIP2" s="121"/>
      <c r="EIQ2" s="121"/>
      <c r="EIR2" s="121"/>
      <c r="EIS2" s="121"/>
      <c r="EIT2" s="121"/>
      <c r="EIU2" s="121"/>
      <c r="EIV2" s="121"/>
      <c r="EIW2" s="121"/>
      <c r="EIX2" s="121"/>
      <c r="EIY2" s="121"/>
      <c r="EIZ2" s="121"/>
      <c r="EJA2" s="121"/>
      <c r="EJB2" s="121"/>
      <c r="EJC2" s="121"/>
      <c r="EJD2" s="121"/>
      <c r="EJE2" s="121"/>
      <c r="EJF2" s="121"/>
      <c r="EJG2" s="121"/>
      <c r="EJH2" s="121"/>
      <c r="EJI2" s="121"/>
      <c r="EJJ2" s="121"/>
      <c r="EJK2" s="121"/>
      <c r="EJL2" s="121"/>
      <c r="EJM2" s="121"/>
      <c r="EJN2" s="121"/>
      <c r="EJO2" s="121"/>
      <c r="EJP2" s="121"/>
      <c r="EJQ2" s="121"/>
      <c r="EJR2" s="121"/>
      <c r="EJS2" s="121"/>
      <c r="EJT2" s="121"/>
      <c r="EJU2" s="121"/>
      <c r="EJV2" s="121"/>
      <c r="EJW2" s="121"/>
      <c r="EJX2" s="121"/>
      <c r="EJY2" s="121"/>
      <c r="EJZ2" s="121"/>
      <c r="EKA2" s="121"/>
      <c r="EKB2" s="121"/>
      <c r="EKC2" s="121"/>
      <c r="EKD2" s="121"/>
      <c r="EKE2" s="121"/>
      <c r="EKF2" s="121"/>
      <c r="EKG2" s="121"/>
      <c r="EKH2" s="121"/>
      <c r="EKI2" s="121"/>
      <c r="EKJ2" s="121"/>
      <c r="EKK2" s="121"/>
      <c r="EKL2" s="121"/>
      <c r="EKM2" s="121"/>
      <c r="EKN2" s="121"/>
      <c r="EKO2" s="121"/>
      <c r="EKP2" s="121"/>
      <c r="EKQ2" s="121"/>
      <c r="EKR2" s="121"/>
      <c r="EKS2" s="121"/>
      <c r="EKT2" s="121"/>
      <c r="EKU2" s="121"/>
      <c r="EKV2" s="121"/>
      <c r="EKW2" s="121"/>
      <c r="EKX2" s="121"/>
      <c r="EKY2" s="121"/>
      <c r="EKZ2" s="121"/>
      <c r="ELA2" s="121"/>
      <c r="ELB2" s="121"/>
      <c r="ELC2" s="121"/>
      <c r="ELD2" s="121"/>
      <c r="ELE2" s="121"/>
      <c r="ELF2" s="121"/>
      <c r="ELG2" s="121"/>
      <c r="ELH2" s="121"/>
      <c r="ELI2" s="121"/>
      <c r="ELJ2" s="121"/>
      <c r="ELK2" s="121"/>
      <c r="ELL2" s="121"/>
      <c r="ELM2" s="121"/>
      <c r="ELN2" s="121"/>
      <c r="ELO2" s="121"/>
      <c r="ELP2" s="121"/>
      <c r="ELQ2" s="121"/>
      <c r="ELR2" s="121"/>
      <c r="ELS2" s="121"/>
      <c r="ELT2" s="121"/>
      <c r="ELU2" s="121"/>
      <c r="ELV2" s="121"/>
      <c r="ELW2" s="121"/>
      <c r="ELX2" s="121"/>
      <c r="ELY2" s="121"/>
      <c r="ELZ2" s="121"/>
      <c r="EMA2" s="121"/>
      <c r="EMB2" s="121"/>
      <c r="EMC2" s="121"/>
      <c r="EMD2" s="121"/>
      <c r="EME2" s="121"/>
      <c r="EMF2" s="121"/>
      <c r="EMG2" s="121"/>
      <c r="EMH2" s="121"/>
      <c r="EMI2" s="121"/>
      <c r="EMJ2" s="121"/>
      <c r="EMK2" s="121"/>
      <c r="EML2" s="121"/>
      <c r="EMM2" s="121"/>
      <c r="EMN2" s="121"/>
      <c r="EMO2" s="121"/>
      <c r="EMP2" s="121"/>
      <c r="EMQ2" s="121"/>
      <c r="EMR2" s="121"/>
      <c r="EMS2" s="121"/>
      <c r="EMT2" s="121"/>
      <c r="EMU2" s="121"/>
      <c r="EMV2" s="121"/>
      <c r="EMW2" s="121"/>
      <c r="EMX2" s="121"/>
      <c r="EMY2" s="121"/>
      <c r="EMZ2" s="121"/>
      <c r="ENA2" s="121"/>
      <c r="ENB2" s="121"/>
      <c r="ENC2" s="121"/>
      <c r="END2" s="121"/>
      <c r="ENE2" s="121"/>
      <c r="ENF2" s="121"/>
      <c r="ENG2" s="121"/>
      <c r="ENH2" s="121"/>
      <c r="ENI2" s="121"/>
      <c r="ENJ2" s="121"/>
      <c r="ENK2" s="121"/>
      <c r="ENL2" s="121"/>
      <c r="ENM2" s="121"/>
      <c r="ENN2" s="121"/>
      <c r="ENO2" s="121"/>
      <c r="ENP2" s="121"/>
      <c r="ENQ2" s="121"/>
      <c r="ENR2" s="121"/>
      <c r="ENS2" s="121"/>
      <c r="ENT2" s="121"/>
      <c r="ENU2" s="121"/>
      <c r="ENV2" s="121"/>
      <c r="ENW2" s="121"/>
      <c r="ENX2" s="121"/>
      <c r="ENY2" s="121"/>
      <c r="ENZ2" s="121"/>
      <c r="EOA2" s="121"/>
      <c r="EOB2" s="121"/>
      <c r="EOC2" s="121"/>
      <c r="EOD2" s="121"/>
      <c r="EOE2" s="121"/>
      <c r="EOF2" s="121"/>
      <c r="EOG2" s="121"/>
      <c r="EOH2" s="121"/>
      <c r="EOI2" s="121"/>
      <c r="EOJ2" s="121"/>
      <c r="EOK2" s="121"/>
      <c r="EOL2" s="121"/>
      <c r="EOM2" s="121"/>
      <c r="EON2" s="121"/>
      <c r="EOO2" s="121"/>
      <c r="EOP2" s="121"/>
      <c r="EOQ2" s="121"/>
      <c r="EOR2" s="121"/>
      <c r="EOS2" s="121"/>
      <c r="EOT2" s="121"/>
      <c r="EOU2" s="121"/>
      <c r="EOV2" s="121"/>
      <c r="EOW2" s="121"/>
      <c r="EOX2" s="121"/>
      <c r="EOY2" s="121"/>
      <c r="EOZ2" s="121"/>
      <c r="EPA2" s="121"/>
      <c r="EPB2" s="121"/>
      <c r="EPC2" s="121"/>
      <c r="EPD2" s="121"/>
      <c r="EPE2" s="121"/>
      <c r="EPF2" s="121"/>
      <c r="EPG2" s="121"/>
      <c r="EPH2" s="121"/>
      <c r="EPI2" s="121"/>
      <c r="EPJ2" s="121"/>
      <c r="EPK2" s="121"/>
      <c r="EPL2" s="121"/>
      <c r="EPM2" s="121"/>
      <c r="EPN2" s="121"/>
      <c r="EPO2" s="121"/>
      <c r="EPP2" s="121"/>
      <c r="EPQ2" s="121"/>
      <c r="EPR2" s="121"/>
      <c r="EPS2" s="121"/>
      <c r="EPT2" s="121"/>
      <c r="EPU2" s="121"/>
      <c r="EPV2" s="121"/>
      <c r="EPW2" s="121"/>
      <c r="EPX2" s="121"/>
      <c r="EPY2" s="121"/>
      <c r="EPZ2" s="121"/>
      <c r="EQA2" s="121"/>
      <c r="EQB2" s="121"/>
      <c r="EQC2" s="121"/>
      <c r="EQD2" s="121"/>
      <c r="EQE2" s="121"/>
      <c r="EQF2" s="121"/>
      <c r="EQG2" s="121"/>
      <c r="EQH2" s="121"/>
      <c r="EQI2" s="121"/>
      <c r="EQJ2" s="121"/>
      <c r="EQK2" s="121"/>
      <c r="EQL2" s="121"/>
      <c r="EQM2" s="121"/>
      <c r="EQN2" s="121"/>
      <c r="EQO2" s="121"/>
      <c r="EQP2" s="121"/>
      <c r="EQQ2" s="121"/>
      <c r="EQR2" s="121"/>
      <c r="EQS2" s="121"/>
      <c r="EQT2" s="121"/>
      <c r="EQU2" s="121"/>
      <c r="EQV2" s="121"/>
      <c r="EQW2" s="121"/>
      <c r="EQX2" s="121"/>
      <c r="EQY2" s="121"/>
      <c r="EQZ2" s="121"/>
      <c r="ERA2" s="121"/>
      <c r="ERB2" s="121"/>
      <c r="ERC2" s="121"/>
      <c r="ERD2" s="121"/>
      <c r="ERE2" s="121"/>
      <c r="ERF2" s="121"/>
      <c r="ERG2" s="121"/>
      <c r="ERH2" s="121"/>
      <c r="ERI2" s="121"/>
      <c r="ERJ2" s="121"/>
      <c r="ERK2" s="121"/>
      <c r="ERL2" s="121"/>
      <c r="ERM2" s="121"/>
      <c r="ERN2" s="121"/>
      <c r="ERO2" s="121"/>
      <c r="ERP2" s="121"/>
      <c r="ERQ2" s="121"/>
      <c r="ERR2" s="121"/>
      <c r="ERS2" s="121"/>
      <c r="ERT2" s="121"/>
      <c r="ERU2" s="121"/>
      <c r="ERV2" s="121"/>
      <c r="ERW2" s="121"/>
      <c r="ERX2" s="121"/>
      <c r="ERY2" s="121"/>
      <c r="ERZ2" s="121"/>
      <c r="ESA2" s="121"/>
      <c r="ESB2" s="121"/>
      <c r="ESC2" s="121"/>
      <c r="ESD2" s="121"/>
      <c r="ESE2" s="121"/>
      <c r="ESF2" s="121"/>
      <c r="ESG2" s="121"/>
      <c r="ESH2" s="121"/>
      <c r="ESI2" s="121"/>
      <c r="ESJ2" s="121"/>
      <c r="ESK2" s="121"/>
      <c r="ESL2" s="121"/>
      <c r="ESM2" s="121"/>
      <c r="ESN2" s="121"/>
      <c r="ESO2" s="121"/>
      <c r="ESP2" s="121"/>
      <c r="ESQ2" s="121"/>
      <c r="ESR2" s="121"/>
      <c r="ESS2" s="121"/>
      <c r="EST2" s="121"/>
      <c r="ESU2" s="121"/>
      <c r="ESV2" s="121"/>
      <c r="ESW2" s="121"/>
      <c r="ESX2" s="121"/>
      <c r="ESY2" s="121"/>
      <c r="ESZ2" s="121"/>
      <c r="ETA2" s="121"/>
      <c r="ETB2" s="121"/>
      <c r="ETC2" s="121"/>
      <c r="ETD2" s="121"/>
      <c r="ETE2" s="121"/>
      <c r="ETF2" s="121"/>
      <c r="ETG2" s="121"/>
      <c r="ETH2" s="121"/>
      <c r="ETI2" s="121"/>
      <c r="ETJ2" s="121"/>
      <c r="ETK2" s="121"/>
      <c r="ETL2" s="121"/>
      <c r="ETM2" s="121"/>
      <c r="ETN2" s="121"/>
      <c r="ETO2" s="121"/>
      <c r="ETP2" s="121"/>
      <c r="ETQ2" s="121"/>
      <c r="ETR2" s="121"/>
      <c r="ETS2" s="121"/>
      <c r="ETT2" s="121"/>
      <c r="ETU2" s="121"/>
      <c r="ETV2" s="121"/>
      <c r="ETW2" s="121"/>
      <c r="ETX2" s="121"/>
      <c r="ETY2" s="121"/>
      <c r="ETZ2" s="121"/>
      <c r="EUA2" s="121"/>
      <c r="EUB2" s="121"/>
      <c r="EUC2" s="121"/>
      <c r="EUD2" s="121"/>
      <c r="EUE2" s="121"/>
      <c r="EUF2" s="121"/>
      <c r="EUG2" s="121"/>
      <c r="EUH2" s="121"/>
      <c r="EUI2" s="121"/>
      <c r="EUJ2" s="121"/>
      <c r="EUK2" s="121"/>
      <c r="EUL2" s="121"/>
      <c r="EUM2" s="121"/>
      <c r="EUN2" s="121"/>
      <c r="EUO2" s="121"/>
      <c r="EUP2" s="121"/>
      <c r="EUQ2" s="121"/>
      <c r="EUR2" s="121"/>
      <c r="EUS2" s="121"/>
      <c r="EUT2" s="121"/>
      <c r="EUU2" s="121"/>
      <c r="EUV2" s="121"/>
      <c r="EUW2" s="121"/>
      <c r="EUX2" s="121"/>
      <c r="EUY2" s="121"/>
      <c r="EUZ2" s="121"/>
      <c r="EVA2" s="121"/>
      <c r="EVB2" s="121"/>
      <c r="EVC2" s="121"/>
      <c r="EVD2" s="121"/>
      <c r="EVE2" s="121"/>
      <c r="EVF2" s="121"/>
      <c r="EVG2" s="121"/>
      <c r="EVH2" s="121"/>
      <c r="EVI2" s="121"/>
      <c r="EVJ2" s="121"/>
      <c r="EVK2" s="121"/>
      <c r="EVL2" s="121"/>
      <c r="EVM2" s="121"/>
      <c r="EVN2" s="121"/>
      <c r="EVO2" s="121"/>
      <c r="EVP2" s="121"/>
      <c r="EVQ2" s="121"/>
      <c r="EVR2" s="121"/>
      <c r="EVS2" s="121"/>
      <c r="EVT2" s="121"/>
      <c r="EVU2" s="121"/>
      <c r="EVV2" s="121"/>
      <c r="EVW2" s="121"/>
      <c r="EVX2" s="121"/>
      <c r="EVY2" s="121"/>
      <c r="EVZ2" s="121"/>
      <c r="EWA2" s="121"/>
      <c r="EWB2" s="121"/>
      <c r="EWC2" s="121"/>
      <c r="EWD2" s="121"/>
      <c r="EWE2" s="121"/>
      <c r="EWF2" s="121"/>
      <c r="EWG2" s="121"/>
      <c r="EWH2" s="121"/>
      <c r="EWI2" s="121"/>
      <c r="EWJ2" s="121"/>
      <c r="EWK2" s="121"/>
      <c r="EWL2" s="121"/>
      <c r="EWM2" s="121"/>
      <c r="EWN2" s="121"/>
      <c r="EWO2" s="121"/>
      <c r="EWP2" s="121"/>
      <c r="EWQ2" s="121"/>
      <c r="EWR2" s="121"/>
      <c r="EWS2" s="121"/>
      <c r="EWT2" s="121"/>
      <c r="EWU2" s="121"/>
      <c r="EWV2" s="121"/>
      <c r="EWW2" s="121"/>
      <c r="EWX2" s="121"/>
      <c r="EWY2" s="121"/>
      <c r="EWZ2" s="121"/>
      <c r="EXA2" s="121"/>
      <c r="EXB2" s="121"/>
      <c r="EXC2" s="121"/>
      <c r="EXD2" s="121"/>
      <c r="EXE2" s="121"/>
      <c r="EXF2" s="121"/>
      <c r="EXG2" s="121"/>
      <c r="EXH2" s="121"/>
      <c r="EXI2" s="121"/>
      <c r="EXJ2" s="121"/>
      <c r="EXK2" s="121"/>
      <c r="EXL2" s="121"/>
      <c r="EXM2" s="121"/>
      <c r="EXN2" s="121"/>
      <c r="EXO2" s="121"/>
      <c r="EXP2" s="121"/>
      <c r="EXQ2" s="121"/>
      <c r="EXR2" s="121"/>
      <c r="EXS2" s="121"/>
      <c r="EXT2" s="121"/>
      <c r="EXU2" s="121"/>
      <c r="EXV2" s="121"/>
      <c r="EXW2" s="121"/>
      <c r="EXX2" s="121"/>
      <c r="EXY2" s="121"/>
      <c r="EXZ2" s="121"/>
      <c r="EYA2" s="121"/>
      <c r="EYB2" s="121"/>
      <c r="EYC2" s="121"/>
      <c r="EYD2" s="121"/>
      <c r="EYE2" s="121"/>
      <c r="EYF2" s="121"/>
      <c r="EYG2" s="121"/>
      <c r="EYH2" s="121"/>
      <c r="EYI2" s="121"/>
      <c r="EYJ2" s="121"/>
      <c r="EYK2" s="121"/>
      <c r="EYL2" s="121"/>
      <c r="EYM2" s="121"/>
      <c r="EYN2" s="121"/>
      <c r="EYO2" s="121"/>
      <c r="EYP2" s="121"/>
      <c r="EYQ2" s="121"/>
      <c r="EYR2" s="121"/>
      <c r="EYS2" s="121"/>
      <c r="EYT2" s="121"/>
      <c r="EYU2" s="121"/>
      <c r="EYV2" s="121"/>
      <c r="EYW2" s="121"/>
      <c r="EYX2" s="121"/>
      <c r="EYY2" s="121"/>
      <c r="EYZ2" s="121"/>
      <c r="EZA2" s="121"/>
      <c r="EZB2" s="121"/>
      <c r="EZC2" s="121"/>
      <c r="EZD2" s="121"/>
      <c r="EZE2" s="121"/>
      <c r="EZF2" s="121"/>
      <c r="EZG2" s="121"/>
      <c r="EZH2" s="121"/>
      <c r="EZI2" s="121"/>
      <c r="EZJ2" s="121"/>
      <c r="EZK2" s="121"/>
      <c r="EZL2" s="121"/>
      <c r="EZM2" s="121"/>
      <c r="EZN2" s="121"/>
      <c r="EZO2" s="121"/>
      <c r="EZP2" s="121"/>
      <c r="EZQ2" s="121"/>
      <c r="EZR2" s="121"/>
      <c r="EZS2" s="121"/>
      <c r="EZT2" s="121"/>
      <c r="EZU2" s="121"/>
      <c r="EZV2" s="121"/>
      <c r="EZW2" s="121"/>
      <c r="EZX2" s="121"/>
      <c r="EZY2" s="121"/>
      <c r="EZZ2" s="121"/>
      <c r="FAA2" s="121"/>
      <c r="FAB2" s="121"/>
      <c r="FAC2" s="121"/>
      <c r="FAD2" s="121"/>
      <c r="FAE2" s="121"/>
      <c r="FAF2" s="121"/>
      <c r="FAG2" s="121"/>
      <c r="FAH2" s="121"/>
      <c r="FAI2" s="121"/>
      <c r="FAJ2" s="121"/>
      <c r="FAK2" s="121"/>
      <c r="FAL2" s="121"/>
      <c r="FAM2" s="121"/>
      <c r="FAN2" s="121"/>
      <c r="FAO2" s="121"/>
      <c r="FAP2" s="121"/>
      <c r="FAQ2" s="121"/>
      <c r="FAR2" s="121"/>
      <c r="FAS2" s="121"/>
      <c r="FAT2" s="121"/>
      <c r="FAU2" s="121"/>
      <c r="FAV2" s="121"/>
      <c r="FAW2" s="121"/>
      <c r="FAX2" s="121"/>
      <c r="FAY2" s="121"/>
      <c r="FAZ2" s="121"/>
      <c r="FBA2" s="121"/>
      <c r="FBB2" s="121"/>
      <c r="FBC2" s="121"/>
      <c r="FBD2" s="121"/>
      <c r="FBE2" s="121"/>
      <c r="FBF2" s="121"/>
      <c r="FBG2" s="121"/>
      <c r="FBH2" s="121"/>
      <c r="FBI2" s="121"/>
      <c r="FBJ2" s="121"/>
      <c r="FBK2" s="121"/>
      <c r="FBL2" s="121"/>
      <c r="FBM2" s="121"/>
      <c r="FBN2" s="121"/>
      <c r="FBO2" s="121"/>
      <c r="FBP2" s="121"/>
      <c r="FBQ2" s="121"/>
      <c r="FBR2" s="121"/>
      <c r="FBS2" s="121"/>
      <c r="FBT2" s="121"/>
      <c r="FBU2" s="121"/>
      <c r="FBV2" s="121"/>
      <c r="FBW2" s="121"/>
      <c r="FBX2" s="121"/>
      <c r="FBY2" s="121"/>
      <c r="FBZ2" s="121"/>
      <c r="FCA2" s="121"/>
      <c r="FCB2" s="121"/>
      <c r="FCC2" s="121"/>
      <c r="FCD2" s="121"/>
      <c r="FCE2" s="121"/>
      <c r="FCF2" s="121"/>
      <c r="FCG2" s="121"/>
      <c r="FCH2" s="121"/>
      <c r="FCI2" s="121"/>
      <c r="FCJ2" s="121"/>
      <c r="FCK2" s="121"/>
      <c r="FCL2" s="121"/>
      <c r="FCM2" s="121"/>
      <c r="FCN2" s="121"/>
      <c r="FCO2" s="121"/>
      <c r="FCP2" s="121"/>
      <c r="FCQ2" s="121"/>
      <c r="FCR2" s="121"/>
      <c r="FCS2" s="121"/>
      <c r="FCT2" s="121"/>
      <c r="FCU2" s="121"/>
      <c r="FCV2" s="121"/>
      <c r="FCW2" s="121"/>
      <c r="FCX2" s="121"/>
      <c r="FCY2" s="121"/>
      <c r="FCZ2" s="121"/>
      <c r="FDA2" s="121"/>
      <c r="FDB2" s="121"/>
      <c r="FDC2" s="121"/>
      <c r="FDD2" s="121"/>
      <c r="FDE2" s="121"/>
      <c r="FDF2" s="121"/>
      <c r="FDG2" s="121"/>
      <c r="FDH2" s="121"/>
      <c r="FDI2" s="121"/>
      <c r="FDJ2" s="121"/>
      <c r="FDK2" s="121"/>
      <c r="FDL2" s="121"/>
      <c r="FDM2" s="121"/>
      <c r="FDN2" s="121"/>
      <c r="FDO2" s="121"/>
      <c r="FDP2" s="121"/>
      <c r="FDQ2" s="121"/>
      <c r="FDR2" s="121"/>
      <c r="FDS2" s="121"/>
      <c r="FDT2" s="121"/>
      <c r="FDU2" s="121"/>
      <c r="FDV2" s="121"/>
      <c r="FDW2" s="121"/>
      <c r="FDX2" s="121"/>
      <c r="FDY2" s="121"/>
      <c r="FDZ2" s="121"/>
      <c r="FEA2" s="121"/>
      <c r="FEB2" s="121"/>
      <c r="FEC2" s="121"/>
      <c r="FED2" s="121"/>
      <c r="FEE2" s="121"/>
      <c r="FEF2" s="121"/>
      <c r="FEG2" s="121"/>
      <c r="FEH2" s="121"/>
      <c r="FEI2" s="121"/>
      <c r="FEJ2" s="121"/>
      <c r="FEK2" s="121"/>
      <c r="FEL2" s="121"/>
      <c r="FEM2" s="121"/>
      <c r="FEN2" s="121"/>
      <c r="FEO2" s="121"/>
      <c r="FEP2" s="121"/>
      <c r="FEQ2" s="121"/>
      <c r="FER2" s="121"/>
      <c r="FES2" s="121"/>
      <c r="FET2" s="121"/>
      <c r="FEU2" s="121"/>
      <c r="FEV2" s="121"/>
      <c r="FEW2" s="121"/>
      <c r="FEX2" s="121"/>
      <c r="FEY2" s="121"/>
      <c r="FEZ2" s="121"/>
      <c r="FFA2" s="121"/>
      <c r="FFB2" s="121"/>
      <c r="FFC2" s="121"/>
      <c r="FFD2" s="121"/>
      <c r="FFE2" s="121"/>
      <c r="FFF2" s="121"/>
      <c r="FFG2" s="121"/>
      <c r="FFH2" s="121"/>
      <c r="FFI2" s="121"/>
      <c r="FFJ2" s="121"/>
      <c r="FFK2" s="121"/>
      <c r="FFL2" s="121"/>
      <c r="FFM2" s="121"/>
      <c r="FFN2" s="121"/>
      <c r="FFO2" s="121"/>
      <c r="FFP2" s="121"/>
      <c r="FFQ2" s="121"/>
      <c r="FFR2" s="121"/>
      <c r="FFS2" s="121"/>
      <c r="FFT2" s="121"/>
      <c r="FFU2" s="121"/>
      <c r="FFV2" s="121"/>
      <c r="FFW2" s="121"/>
      <c r="FFX2" s="121"/>
      <c r="FFY2" s="121"/>
      <c r="FFZ2" s="121"/>
      <c r="FGA2" s="121"/>
      <c r="FGB2" s="121"/>
      <c r="FGC2" s="121"/>
      <c r="FGD2" s="121"/>
      <c r="FGE2" s="121"/>
      <c r="FGF2" s="121"/>
      <c r="FGG2" s="121"/>
      <c r="FGH2" s="121"/>
      <c r="FGI2" s="121"/>
      <c r="FGJ2" s="121"/>
      <c r="FGK2" s="121"/>
      <c r="FGL2" s="121"/>
      <c r="FGM2" s="121"/>
      <c r="FGN2" s="121"/>
      <c r="FGO2" s="121"/>
      <c r="FGP2" s="121"/>
      <c r="FGQ2" s="121"/>
      <c r="FGR2" s="121"/>
      <c r="FGS2" s="121"/>
      <c r="FGT2" s="121"/>
      <c r="FGU2" s="121"/>
      <c r="FGV2" s="121"/>
      <c r="FGW2" s="121"/>
      <c r="FGX2" s="121"/>
      <c r="FGY2" s="121"/>
      <c r="FGZ2" s="121"/>
      <c r="FHA2" s="121"/>
      <c r="FHB2" s="121"/>
      <c r="FHC2" s="121"/>
      <c r="FHD2" s="121"/>
      <c r="FHE2" s="121"/>
      <c r="FHF2" s="121"/>
      <c r="FHG2" s="121"/>
      <c r="FHH2" s="121"/>
      <c r="FHI2" s="121"/>
      <c r="FHJ2" s="121"/>
      <c r="FHK2" s="121"/>
      <c r="FHL2" s="121"/>
      <c r="FHM2" s="121"/>
      <c r="FHN2" s="121"/>
      <c r="FHO2" s="121"/>
      <c r="FHP2" s="121"/>
      <c r="FHQ2" s="121"/>
      <c r="FHR2" s="121"/>
      <c r="FHS2" s="121"/>
      <c r="FHT2" s="121"/>
      <c r="FHU2" s="121"/>
      <c r="FHV2" s="121"/>
      <c r="FHW2" s="121"/>
      <c r="FHX2" s="121"/>
      <c r="FHY2" s="121"/>
      <c r="FHZ2" s="121"/>
      <c r="FIA2" s="121"/>
      <c r="FIB2" s="121"/>
      <c r="FIC2" s="121"/>
      <c r="FID2" s="121"/>
      <c r="FIE2" s="121"/>
      <c r="FIF2" s="121"/>
      <c r="FIG2" s="121"/>
      <c r="FIH2" s="121"/>
      <c r="FII2" s="121"/>
      <c r="FIJ2" s="121"/>
      <c r="FIK2" s="121"/>
      <c r="FIL2" s="121"/>
      <c r="FIM2" s="121"/>
      <c r="FIN2" s="121"/>
      <c r="FIO2" s="121"/>
      <c r="FIP2" s="121"/>
      <c r="FIQ2" s="121"/>
      <c r="FIR2" s="121"/>
      <c r="FIS2" s="121"/>
      <c r="FIT2" s="121"/>
      <c r="FIU2" s="121"/>
      <c r="FIV2" s="121"/>
      <c r="FIW2" s="121"/>
      <c r="FIX2" s="121"/>
      <c r="FIY2" s="121"/>
      <c r="FIZ2" s="121"/>
      <c r="FJA2" s="121"/>
      <c r="FJB2" s="121"/>
      <c r="FJC2" s="121"/>
      <c r="FJD2" s="121"/>
      <c r="FJE2" s="121"/>
      <c r="FJF2" s="121"/>
      <c r="FJG2" s="121"/>
      <c r="FJH2" s="121"/>
      <c r="FJI2" s="121"/>
      <c r="FJJ2" s="121"/>
      <c r="FJK2" s="121"/>
      <c r="FJL2" s="121"/>
      <c r="FJM2" s="121"/>
      <c r="FJN2" s="121"/>
      <c r="FJO2" s="121"/>
      <c r="FJP2" s="121"/>
      <c r="FJQ2" s="121"/>
      <c r="FJR2" s="121"/>
      <c r="FJS2" s="121"/>
      <c r="FJT2" s="121"/>
      <c r="FJU2" s="121"/>
      <c r="FJV2" s="121"/>
      <c r="FJW2" s="121"/>
      <c r="FJX2" s="121"/>
      <c r="FJY2" s="121"/>
      <c r="FJZ2" s="121"/>
      <c r="FKA2" s="121"/>
      <c r="FKB2" s="121"/>
      <c r="FKC2" s="121"/>
      <c r="FKD2" s="121"/>
      <c r="FKE2" s="121"/>
      <c r="FKF2" s="121"/>
      <c r="FKG2" s="121"/>
      <c r="FKH2" s="121"/>
      <c r="FKI2" s="121"/>
      <c r="FKJ2" s="121"/>
      <c r="FKK2" s="121"/>
      <c r="FKL2" s="121"/>
      <c r="FKM2" s="121"/>
      <c r="FKN2" s="121"/>
      <c r="FKO2" s="121"/>
      <c r="FKP2" s="121"/>
      <c r="FKQ2" s="121"/>
      <c r="FKR2" s="121"/>
      <c r="FKS2" s="121"/>
      <c r="FKT2" s="121"/>
      <c r="FKU2" s="121"/>
      <c r="FKV2" s="121"/>
      <c r="FKW2" s="121"/>
      <c r="FKX2" s="121"/>
      <c r="FKY2" s="121"/>
      <c r="FKZ2" s="121"/>
      <c r="FLA2" s="121"/>
      <c r="FLB2" s="121"/>
      <c r="FLC2" s="121"/>
      <c r="FLD2" s="121"/>
      <c r="FLE2" s="121"/>
      <c r="FLF2" s="121"/>
      <c r="FLG2" s="121"/>
      <c r="FLH2" s="121"/>
      <c r="FLI2" s="121"/>
      <c r="FLJ2" s="121"/>
      <c r="FLK2" s="121"/>
      <c r="FLL2" s="121"/>
      <c r="FLM2" s="121"/>
      <c r="FLN2" s="121"/>
      <c r="FLO2" s="121"/>
      <c r="FLP2" s="121"/>
      <c r="FLQ2" s="121"/>
      <c r="FLR2" s="121"/>
      <c r="FLS2" s="121"/>
      <c r="FLT2" s="121"/>
      <c r="FLU2" s="121"/>
      <c r="FLV2" s="121"/>
      <c r="FLW2" s="121"/>
      <c r="FLX2" s="121"/>
      <c r="FLY2" s="121"/>
      <c r="FLZ2" s="121"/>
      <c r="FMA2" s="121"/>
      <c r="FMB2" s="121"/>
      <c r="FMC2" s="121"/>
      <c r="FMD2" s="121"/>
      <c r="FME2" s="121"/>
      <c r="FMF2" s="121"/>
      <c r="FMG2" s="121"/>
      <c r="FMH2" s="121"/>
      <c r="FMI2" s="121"/>
      <c r="FMJ2" s="121"/>
      <c r="FMK2" s="121"/>
      <c r="FML2" s="121"/>
      <c r="FMM2" s="121"/>
      <c r="FMN2" s="121"/>
      <c r="FMO2" s="121"/>
      <c r="FMP2" s="121"/>
      <c r="FMQ2" s="121"/>
      <c r="FMR2" s="121"/>
      <c r="FMS2" s="121"/>
      <c r="FMT2" s="121"/>
      <c r="FMU2" s="121"/>
      <c r="FMV2" s="121"/>
      <c r="FMW2" s="121"/>
      <c r="FMX2" s="121"/>
      <c r="FMY2" s="121"/>
      <c r="FMZ2" s="121"/>
      <c r="FNA2" s="121"/>
      <c r="FNB2" s="121"/>
      <c r="FNC2" s="121"/>
      <c r="FND2" s="121"/>
      <c r="FNE2" s="121"/>
      <c r="FNF2" s="121"/>
      <c r="FNG2" s="121"/>
      <c r="FNH2" s="121"/>
      <c r="FNI2" s="121"/>
      <c r="FNJ2" s="121"/>
      <c r="FNK2" s="121"/>
      <c r="FNL2" s="121"/>
      <c r="FNM2" s="121"/>
      <c r="FNN2" s="121"/>
      <c r="FNO2" s="121"/>
      <c r="FNP2" s="121"/>
      <c r="FNQ2" s="121"/>
      <c r="FNR2" s="121"/>
      <c r="FNS2" s="121"/>
      <c r="FNT2" s="121"/>
      <c r="FNU2" s="121"/>
      <c r="FNV2" s="121"/>
      <c r="FNW2" s="121"/>
      <c r="FNX2" s="121"/>
      <c r="FNY2" s="121"/>
      <c r="FNZ2" s="121"/>
      <c r="FOA2" s="121"/>
      <c r="FOB2" s="121"/>
      <c r="FOC2" s="121"/>
      <c r="FOD2" s="121"/>
      <c r="FOE2" s="121"/>
      <c r="FOF2" s="121"/>
      <c r="FOG2" s="121"/>
      <c r="FOH2" s="121"/>
      <c r="FOI2" s="121"/>
      <c r="FOJ2" s="121"/>
      <c r="FOK2" s="121"/>
      <c r="FOL2" s="121"/>
      <c r="FOM2" s="121"/>
      <c r="FON2" s="121"/>
      <c r="FOO2" s="121"/>
      <c r="FOP2" s="121"/>
      <c r="FOQ2" s="121"/>
      <c r="FOR2" s="121"/>
      <c r="FOS2" s="121"/>
      <c r="FOT2" s="121"/>
      <c r="FOU2" s="121"/>
      <c r="FOV2" s="121"/>
      <c r="FOW2" s="121"/>
      <c r="FOX2" s="121"/>
      <c r="FOY2" s="121"/>
      <c r="FOZ2" s="121"/>
      <c r="FPA2" s="121"/>
      <c r="FPB2" s="121"/>
      <c r="FPC2" s="121"/>
      <c r="FPD2" s="121"/>
      <c r="FPE2" s="121"/>
      <c r="FPF2" s="121"/>
      <c r="FPG2" s="121"/>
      <c r="FPH2" s="121"/>
      <c r="FPI2" s="121"/>
      <c r="FPJ2" s="121"/>
      <c r="FPK2" s="121"/>
      <c r="FPL2" s="121"/>
      <c r="FPM2" s="121"/>
      <c r="FPN2" s="121"/>
      <c r="FPO2" s="121"/>
      <c r="FPP2" s="121"/>
      <c r="FPQ2" s="121"/>
      <c r="FPR2" s="121"/>
      <c r="FPS2" s="121"/>
      <c r="FPT2" s="121"/>
      <c r="FPU2" s="121"/>
      <c r="FPV2" s="121"/>
      <c r="FPW2" s="121"/>
      <c r="FPX2" s="121"/>
      <c r="FPY2" s="121"/>
      <c r="FPZ2" s="121"/>
      <c r="FQA2" s="121"/>
      <c r="FQB2" s="121"/>
      <c r="FQC2" s="121"/>
      <c r="FQD2" s="121"/>
      <c r="FQE2" s="121"/>
      <c r="FQF2" s="121"/>
      <c r="FQG2" s="121"/>
      <c r="FQH2" s="121"/>
      <c r="FQI2" s="121"/>
      <c r="FQJ2" s="121"/>
      <c r="FQK2" s="121"/>
      <c r="FQL2" s="121"/>
      <c r="FQM2" s="121"/>
      <c r="FQN2" s="121"/>
      <c r="FQO2" s="121"/>
      <c r="FQP2" s="121"/>
      <c r="FQQ2" s="121"/>
      <c r="FQR2" s="121"/>
      <c r="FQS2" s="121"/>
      <c r="FQT2" s="121"/>
      <c r="FQU2" s="121"/>
      <c r="FQV2" s="121"/>
      <c r="FQW2" s="121"/>
      <c r="FQX2" s="121"/>
      <c r="FQY2" s="121"/>
      <c r="FQZ2" s="121"/>
      <c r="FRA2" s="121"/>
      <c r="FRB2" s="121"/>
      <c r="FRC2" s="121"/>
      <c r="FRD2" s="121"/>
      <c r="FRE2" s="121"/>
      <c r="FRF2" s="121"/>
      <c r="FRG2" s="121"/>
      <c r="FRH2" s="121"/>
      <c r="FRI2" s="121"/>
      <c r="FRJ2" s="121"/>
      <c r="FRK2" s="121"/>
      <c r="FRL2" s="121"/>
      <c r="FRM2" s="121"/>
      <c r="FRN2" s="121"/>
      <c r="FRO2" s="121"/>
      <c r="FRP2" s="121"/>
      <c r="FRQ2" s="121"/>
      <c r="FRR2" s="121"/>
      <c r="FRS2" s="121"/>
      <c r="FRT2" s="121"/>
      <c r="FRU2" s="121"/>
      <c r="FRV2" s="121"/>
      <c r="FRW2" s="121"/>
      <c r="FRX2" s="121"/>
      <c r="FRY2" s="121"/>
      <c r="FRZ2" s="121"/>
      <c r="FSA2" s="121"/>
      <c r="FSB2" s="121"/>
      <c r="FSC2" s="121"/>
      <c r="FSD2" s="121"/>
      <c r="FSE2" s="121"/>
      <c r="FSF2" s="121"/>
      <c r="FSG2" s="121"/>
      <c r="FSH2" s="121"/>
      <c r="FSI2" s="121"/>
      <c r="FSJ2" s="121"/>
      <c r="FSK2" s="121"/>
      <c r="FSL2" s="121"/>
      <c r="FSM2" s="121"/>
      <c r="FSN2" s="121"/>
      <c r="FSO2" s="121"/>
      <c r="FSP2" s="121"/>
      <c r="FSQ2" s="121"/>
      <c r="FSR2" s="121"/>
      <c r="FSS2" s="121"/>
      <c r="FST2" s="121"/>
      <c r="FSU2" s="121"/>
      <c r="FSV2" s="121"/>
      <c r="FSW2" s="121"/>
      <c r="FSX2" s="121"/>
      <c r="FSY2" s="121"/>
      <c r="FSZ2" s="121"/>
      <c r="FTA2" s="121"/>
      <c r="FTB2" s="121"/>
      <c r="FTC2" s="121"/>
      <c r="FTD2" s="121"/>
      <c r="FTE2" s="121"/>
      <c r="FTF2" s="121"/>
      <c r="FTG2" s="121"/>
      <c r="FTH2" s="121"/>
      <c r="FTI2" s="121"/>
      <c r="FTJ2" s="121"/>
      <c r="FTK2" s="121"/>
      <c r="FTL2" s="121"/>
      <c r="FTM2" s="121"/>
      <c r="FTN2" s="121"/>
      <c r="FTO2" s="121"/>
      <c r="FTP2" s="121"/>
      <c r="FTQ2" s="121"/>
      <c r="FTR2" s="121"/>
      <c r="FTS2" s="121"/>
      <c r="FTT2" s="121"/>
      <c r="FTU2" s="121"/>
      <c r="FTV2" s="121"/>
      <c r="FTW2" s="121"/>
      <c r="FTX2" s="121"/>
      <c r="FTY2" s="121"/>
      <c r="FTZ2" s="121"/>
      <c r="FUA2" s="121"/>
      <c r="FUB2" s="121"/>
      <c r="FUC2" s="121"/>
      <c r="FUD2" s="121"/>
      <c r="FUE2" s="121"/>
      <c r="FUF2" s="121"/>
      <c r="FUG2" s="121"/>
      <c r="FUH2" s="121"/>
      <c r="FUI2" s="121"/>
      <c r="FUJ2" s="121"/>
      <c r="FUK2" s="121"/>
      <c r="FUL2" s="121"/>
      <c r="FUM2" s="121"/>
      <c r="FUN2" s="121"/>
      <c r="FUO2" s="121"/>
      <c r="FUP2" s="121"/>
      <c r="FUQ2" s="121"/>
      <c r="FUR2" s="121"/>
      <c r="FUS2" s="121"/>
      <c r="FUT2" s="121"/>
      <c r="FUU2" s="121"/>
      <c r="FUV2" s="121"/>
      <c r="FUW2" s="121"/>
      <c r="FUX2" s="121"/>
      <c r="FUY2" s="121"/>
      <c r="FUZ2" s="121"/>
      <c r="FVA2" s="121"/>
      <c r="FVB2" s="121"/>
      <c r="FVC2" s="121"/>
      <c r="FVD2" s="121"/>
      <c r="FVE2" s="121"/>
      <c r="FVF2" s="121"/>
      <c r="FVG2" s="121"/>
      <c r="FVH2" s="121"/>
      <c r="FVI2" s="121"/>
      <c r="FVJ2" s="121"/>
      <c r="FVK2" s="121"/>
      <c r="FVL2" s="121"/>
      <c r="FVM2" s="121"/>
      <c r="FVN2" s="121"/>
      <c r="FVO2" s="121"/>
      <c r="FVP2" s="121"/>
      <c r="FVQ2" s="121"/>
      <c r="FVR2" s="121"/>
      <c r="FVS2" s="121"/>
      <c r="FVT2" s="121"/>
      <c r="FVU2" s="121"/>
      <c r="FVV2" s="121"/>
      <c r="FVW2" s="121"/>
      <c r="FVX2" s="121"/>
      <c r="FVY2" s="121"/>
      <c r="FVZ2" s="121"/>
      <c r="FWA2" s="121"/>
      <c r="FWB2" s="121"/>
      <c r="FWC2" s="121"/>
      <c r="FWD2" s="121"/>
      <c r="FWE2" s="121"/>
      <c r="FWF2" s="121"/>
      <c r="FWG2" s="121"/>
      <c r="FWH2" s="121"/>
      <c r="FWI2" s="121"/>
      <c r="FWJ2" s="121"/>
      <c r="FWK2" s="121"/>
      <c r="FWL2" s="121"/>
      <c r="FWM2" s="121"/>
      <c r="FWN2" s="121"/>
      <c r="FWO2" s="121"/>
      <c r="FWP2" s="121"/>
      <c r="FWQ2" s="121"/>
      <c r="FWR2" s="121"/>
      <c r="FWS2" s="121"/>
      <c r="FWT2" s="121"/>
      <c r="FWU2" s="121"/>
      <c r="FWV2" s="121"/>
      <c r="FWW2" s="121"/>
      <c r="FWX2" s="121"/>
      <c r="FWY2" s="121"/>
      <c r="FWZ2" s="121"/>
      <c r="FXA2" s="121"/>
      <c r="FXB2" s="121"/>
      <c r="FXC2" s="121"/>
      <c r="FXD2" s="121"/>
      <c r="FXE2" s="121"/>
      <c r="FXF2" s="121"/>
      <c r="FXG2" s="121"/>
      <c r="FXH2" s="121"/>
      <c r="FXI2" s="121"/>
      <c r="FXJ2" s="121"/>
      <c r="FXK2" s="121"/>
      <c r="FXL2" s="121"/>
      <c r="FXM2" s="121"/>
      <c r="FXN2" s="121"/>
      <c r="FXO2" s="121"/>
      <c r="FXP2" s="121"/>
      <c r="FXQ2" s="121"/>
      <c r="FXR2" s="121"/>
      <c r="FXS2" s="121"/>
      <c r="FXT2" s="121"/>
      <c r="FXU2" s="121"/>
      <c r="FXV2" s="121"/>
      <c r="FXW2" s="121"/>
      <c r="FXX2" s="121"/>
      <c r="FXY2" s="121"/>
      <c r="FXZ2" s="121"/>
      <c r="FYA2" s="121"/>
      <c r="FYB2" s="121"/>
      <c r="FYC2" s="121"/>
      <c r="FYD2" s="121"/>
      <c r="FYE2" s="121"/>
      <c r="FYF2" s="121"/>
      <c r="FYG2" s="121"/>
      <c r="FYH2" s="121"/>
      <c r="FYI2" s="121"/>
      <c r="FYJ2" s="121"/>
      <c r="FYK2" s="121"/>
      <c r="FYL2" s="121"/>
      <c r="FYM2" s="121"/>
      <c r="FYN2" s="121"/>
      <c r="FYO2" s="121"/>
      <c r="FYP2" s="121"/>
      <c r="FYQ2" s="121"/>
      <c r="FYR2" s="121"/>
      <c r="FYS2" s="121"/>
      <c r="FYT2" s="121"/>
      <c r="FYU2" s="121"/>
      <c r="FYV2" s="121"/>
      <c r="FYW2" s="121"/>
      <c r="FYX2" s="121"/>
      <c r="FYY2" s="121"/>
      <c r="FYZ2" s="121"/>
      <c r="FZA2" s="121"/>
      <c r="FZB2" s="121"/>
      <c r="FZC2" s="121"/>
      <c r="FZD2" s="121"/>
      <c r="FZE2" s="121"/>
      <c r="FZF2" s="121"/>
      <c r="FZG2" s="121"/>
      <c r="FZH2" s="121"/>
      <c r="FZI2" s="121"/>
      <c r="FZJ2" s="121"/>
      <c r="FZK2" s="121"/>
      <c r="FZL2" s="121"/>
      <c r="FZM2" s="121"/>
      <c r="FZN2" s="121"/>
      <c r="FZO2" s="121"/>
      <c r="FZP2" s="121"/>
      <c r="FZQ2" s="121"/>
      <c r="FZR2" s="121"/>
      <c r="FZS2" s="121"/>
      <c r="FZT2" s="121"/>
      <c r="FZU2" s="121"/>
      <c r="FZV2" s="121"/>
      <c r="FZW2" s="121"/>
      <c r="FZX2" s="121"/>
      <c r="FZY2" s="121"/>
      <c r="FZZ2" s="121"/>
      <c r="GAA2" s="121"/>
      <c r="GAB2" s="121"/>
      <c r="GAC2" s="121"/>
      <c r="GAD2" s="121"/>
      <c r="GAE2" s="121"/>
      <c r="GAF2" s="121"/>
      <c r="GAG2" s="121"/>
      <c r="GAH2" s="121"/>
      <c r="GAI2" s="121"/>
      <c r="GAJ2" s="121"/>
      <c r="GAK2" s="121"/>
      <c r="GAL2" s="121"/>
      <c r="GAM2" s="121"/>
      <c r="GAN2" s="121"/>
      <c r="GAO2" s="121"/>
      <c r="GAP2" s="121"/>
      <c r="GAQ2" s="121"/>
      <c r="GAR2" s="121"/>
      <c r="GAS2" s="121"/>
      <c r="GAT2" s="121"/>
      <c r="GAU2" s="121"/>
      <c r="GAV2" s="121"/>
      <c r="GAW2" s="121"/>
      <c r="GAX2" s="121"/>
      <c r="GAY2" s="121"/>
      <c r="GAZ2" s="121"/>
      <c r="GBA2" s="121"/>
      <c r="GBB2" s="121"/>
      <c r="GBC2" s="121"/>
      <c r="GBD2" s="121"/>
      <c r="GBE2" s="121"/>
      <c r="GBF2" s="121"/>
      <c r="GBG2" s="121"/>
      <c r="GBH2" s="121"/>
      <c r="GBI2" s="121"/>
      <c r="GBJ2" s="121"/>
      <c r="GBK2" s="121"/>
      <c r="GBL2" s="121"/>
      <c r="GBM2" s="121"/>
      <c r="GBN2" s="121"/>
      <c r="GBO2" s="121"/>
      <c r="GBP2" s="121"/>
      <c r="GBQ2" s="121"/>
      <c r="GBR2" s="121"/>
      <c r="GBS2" s="121"/>
      <c r="GBT2" s="121"/>
      <c r="GBU2" s="121"/>
      <c r="GBV2" s="121"/>
      <c r="GBW2" s="121"/>
      <c r="GBX2" s="121"/>
      <c r="GBY2" s="121"/>
      <c r="GBZ2" s="121"/>
      <c r="GCA2" s="121"/>
      <c r="GCB2" s="121"/>
      <c r="GCC2" s="121"/>
      <c r="GCD2" s="121"/>
      <c r="GCE2" s="121"/>
      <c r="GCF2" s="121"/>
      <c r="GCG2" s="121"/>
      <c r="GCH2" s="121"/>
      <c r="GCI2" s="121"/>
      <c r="GCJ2" s="121"/>
      <c r="GCK2" s="121"/>
      <c r="GCL2" s="121"/>
      <c r="GCM2" s="121"/>
      <c r="GCN2" s="121"/>
      <c r="GCO2" s="121"/>
      <c r="GCP2" s="121"/>
      <c r="GCQ2" s="121"/>
      <c r="GCR2" s="121"/>
      <c r="GCS2" s="121"/>
      <c r="GCT2" s="121"/>
      <c r="GCU2" s="121"/>
      <c r="GCV2" s="121"/>
      <c r="GCW2" s="121"/>
      <c r="GCX2" s="121"/>
      <c r="GCY2" s="121"/>
      <c r="GCZ2" s="121"/>
      <c r="GDA2" s="121"/>
      <c r="GDB2" s="121"/>
      <c r="GDC2" s="121"/>
      <c r="GDD2" s="121"/>
      <c r="GDE2" s="121"/>
      <c r="GDF2" s="121"/>
      <c r="GDG2" s="121"/>
      <c r="GDH2" s="121"/>
      <c r="GDI2" s="121"/>
      <c r="GDJ2" s="121"/>
      <c r="GDK2" s="121"/>
      <c r="GDL2" s="121"/>
      <c r="GDM2" s="121"/>
      <c r="GDN2" s="121"/>
      <c r="GDO2" s="121"/>
      <c r="GDP2" s="121"/>
      <c r="GDQ2" s="121"/>
      <c r="GDR2" s="121"/>
      <c r="GDS2" s="121"/>
      <c r="GDT2" s="121"/>
      <c r="GDU2" s="121"/>
      <c r="GDV2" s="121"/>
      <c r="GDW2" s="121"/>
      <c r="GDX2" s="121"/>
      <c r="GDY2" s="121"/>
      <c r="GDZ2" s="121"/>
      <c r="GEA2" s="121"/>
      <c r="GEB2" s="121"/>
      <c r="GEC2" s="121"/>
      <c r="GED2" s="121"/>
      <c r="GEE2" s="121"/>
      <c r="GEF2" s="121"/>
      <c r="GEG2" s="121"/>
      <c r="GEH2" s="121"/>
      <c r="GEI2" s="121"/>
      <c r="GEJ2" s="121"/>
      <c r="GEK2" s="121"/>
      <c r="GEL2" s="121"/>
      <c r="GEM2" s="121"/>
      <c r="GEN2" s="121"/>
      <c r="GEO2" s="121"/>
      <c r="GEP2" s="121"/>
      <c r="GEQ2" s="121"/>
      <c r="GER2" s="121"/>
      <c r="GES2" s="121"/>
      <c r="GET2" s="121"/>
      <c r="GEU2" s="121"/>
      <c r="GEV2" s="121"/>
      <c r="GEW2" s="121"/>
      <c r="GEX2" s="121"/>
      <c r="GEY2" s="121"/>
      <c r="GEZ2" s="121"/>
      <c r="GFA2" s="121"/>
      <c r="GFB2" s="121"/>
      <c r="GFC2" s="121"/>
      <c r="GFD2" s="121"/>
      <c r="GFE2" s="121"/>
      <c r="GFF2" s="121"/>
      <c r="GFG2" s="121"/>
      <c r="GFH2" s="121"/>
      <c r="GFI2" s="121"/>
      <c r="GFJ2" s="121"/>
      <c r="GFK2" s="121"/>
      <c r="GFL2" s="121"/>
      <c r="GFM2" s="121"/>
      <c r="GFN2" s="121"/>
      <c r="GFO2" s="121"/>
      <c r="GFP2" s="121"/>
      <c r="GFQ2" s="121"/>
      <c r="GFR2" s="121"/>
      <c r="GFS2" s="121"/>
      <c r="GFT2" s="121"/>
      <c r="GFU2" s="121"/>
      <c r="GFV2" s="121"/>
      <c r="GFW2" s="121"/>
      <c r="GFX2" s="121"/>
      <c r="GFY2" s="121"/>
      <c r="GFZ2" s="121"/>
      <c r="GGA2" s="121"/>
      <c r="GGB2" s="121"/>
      <c r="GGC2" s="121"/>
      <c r="GGD2" s="121"/>
      <c r="GGE2" s="121"/>
      <c r="GGF2" s="121"/>
      <c r="GGG2" s="121"/>
      <c r="GGH2" s="121"/>
      <c r="GGI2" s="121"/>
      <c r="GGJ2" s="121"/>
      <c r="GGK2" s="121"/>
      <c r="GGL2" s="121"/>
      <c r="GGM2" s="121"/>
      <c r="GGN2" s="121"/>
      <c r="GGO2" s="121"/>
      <c r="GGP2" s="121"/>
      <c r="GGQ2" s="121"/>
      <c r="GGR2" s="121"/>
      <c r="GGS2" s="121"/>
      <c r="GGT2" s="121"/>
      <c r="GGU2" s="121"/>
      <c r="GGV2" s="121"/>
      <c r="GGW2" s="121"/>
      <c r="GGX2" s="121"/>
      <c r="GGY2" s="121"/>
      <c r="GGZ2" s="121"/>
      <c r="GHA2" s="121"/>
      <c r="GHB2" s="121"/>
      <c r="GHC2" s="121"/>
      <c r="GHD2" s="121"/>
      <c r="GHE2" s="121"/>
      <c r="GHF2" s="121"/>
      <c r="GHG2" s="121"/>
      <c r="GHH2" s="121"/>
      <c r="GHI2" s="121"/>
      <c r="GHJ2" s="121"/>
      <c r="GHK2" s="121"/>
      <c r="GHL2" s="121"/>
      <c r="GHM2" s="121"/>
      <c r="GHN2" s="121"/>
      <c r="GHO2" s="121"/>
      <c r="GHP2" s="121"/>
      <c r="GHQ2" s="121"/>
      <c r="GHR2" s="121"/>
      <c r="GHS2" s="121"/>
      <c r="GHT2" s="121"/>
      <c r="GHU2" s="121"/>
      <c r="GHV2" s="121"/>
      <c r="GHW2" s="121"/>
      <c r="GHX2" s="121"/>
      <c r="GHY2" s="121"/>
      <c r="GHZ2" s="121"/>
      <c r="GIA2" s="121"/>
      <c r="GIB2" s="121"/>
      <c r="GIC2" s="121"/>
      <c r="GID2" s="121"/>
      <c r="GIE2" s="121"/>
      <c r="GIF2" s="121"/>
      <c r="GIG2" s="121"/>
      <c r="GIH2" s="121"/>
      <c r="GII2" s="121"/>
      <c r="GIJ2" s="121"/>
      <c r="GIK2" s="121"/>
      <c r="GIL2" s="121"/>
      <c r="GIM2" s="121"/>
      <c r="GIN2" s="121"/>
      <c r="GIO2" s="121"/>
      <c r="GIP2" s="121"/>
      <c r="GIQ2" s="121"/>
      <c r="GIR2" s="121"/>
      <c r="GIS2" s="121"/>
      <c r="GIT2" s="121"/>
      <c r="GIU2" s="121"/>
      <c r="GIV2" s="121"/>
      <c r="GIW2" s="121"/>
      <c r="GIX2" s="121"/>
      <c r="GIY2" s="121"/>
      <c r="GIZ2" s="121"/>
      <c r="GJA2" s="121"/>
      <c r="GJB2" s="121"/>
      <c r="GJC2" s="121"/>
      <c r="GJD2" s="121"/>
      <c r="GJE2" s="121"/>
      <c r="GJF2" s="121"/>
      <c r="GJG2" s="121"/>
      <c r="GJH2" s="121"/>
      <c r="GJI2" s="121"/>
      <c r="GJJ2" s="121"/>
      <c r="GJK2" s="121"/>
      <c r="GJL2" s="121"/>
      <c r="GJM2" s="121"/>
      <c r="GJN2" s="121"/>
      <c r="GJO2" s="121"/>
      <c r="GJP2" s="121"/>
      <c r="GJQ2" s="121"/>
      <c r="GJR2" s="121"/>
      <c r="GJS2" s="121"/>
      <c r="GJT2" s="121"/>
      <c r="GJU2" s="121"/>
      <c r="GJV2" s="121"/>
      <c r="GJW2" s="121"/>
      <c r="GJX2" s="121"/>
      <c r="GJY2" s="121"/>
      <c r="GJZ2" s="121"/>
      <c r="GKA2" s="121"/>
      <c r="GKB2" s="121"/>
      <c r="GKC2" s="121"/>
      <c r="GKD2" s="121"/>
      <c r="GKE2" s="121"/>
      <c r="GKF2" s="121"/>
      <c r="GKG2" s="121"/>
      <c r="GKH2" s="121"/>
      <c r="GKI2" s="121"/>
      <c r="GKJ2" s="121"/>
      <c r="GKK2" s="121"/>
      <c r="GKL2" s="121"/>
      <c r="GKM2" s="121"/>
      <c r="GKN2" s="121"/>
      <c r="GKO2" s="121"/>
      <c r="GKP2" s="121"/>
      <c r="GKQ2" s="121"/>
      <c r="GKR2" s="121"/>
      <c r="GKS2" s="121"/>
      <c r="GKT2" s="121"/>
      <c r="GKU2" s="121"/>
      <c r="GKV2" s="121"/>
      <c r="GKW2" s="121"/>
      <c r="GKX2" s="121"/>
      <c r="GKY2" s="121"/>
      <c r="GKZ2" s="121"/>
      <c r="GLA2" s="121"/>
      <c r="GLB2" s="121"/>
      <c r="GLC2" s="121"/>
      <c r="GLD2" s="121"/>
      <c r="GLE2" s="121"/>
      <c r="GLF2" s="121"/>
      <c r="GLG2" s="121"/>
      <c r="GLH2" s="121"/>
      <c r="GLI2" s="121"/>
      <c r="GLJ2" s="121"/>
      <c r="GLK2" s="121"/>
      <c r="GLL2" s="121"/>
      <c r="GLM2" s="121"/>
      <c r="GLN2" s="121"/>
      <c r="GLO2" s="121"/>
      <c r="GLP2" s="121"/>
      <c r="GLQ2" s="121"/>
      <c r="GLR2" s="121"/>
      <c r="GLS2" s="121"/>
      <c r="GLT2" s="121"/>
      <c r="GLU2" s="121"/>
      <c r="GLV2" s="121"/>
      <c r="GLW2" s="121"/>
      <c r="GLX2" s="121"/>
      <c r="GLY2" s="121"/>
      <c r="GLZ2" s="121"/>
      <c r="GMA2" s="121"/>
      <c r="GMB2" s="121"/>
      <c r="GMC2" s="121"/>
      <c r="GMD2" s="121"/>
      <c r="GME2" s="121"/>
      <c r="GMF2" s="121"/>
      <c r="GMG2" s="121"/>
      <c r="GMH2" s="121"/>
      <c r="GMI2" s="121"/>
      <c r="GMJ2" s="121"/>
      <c r="GMK2" s="121"/>
      <c r="GML2" s="121"/>
      <c r="GMM2" s="121"/>
      <c r="GMN2" s="121"/>
      <c r="GMO2" s="121"/>
      <c r="GMP2" s="121"/>
      <c r="GMQ2" s="121"/>
      <c r="GMR2" s="121"/>
      <c r="GMS2" s="121"/>
      <c r="GMT2" s="121"/>
      <c r="GMU2" s="121"/>
      <c r="GMV2" s="121"/>
      <c r="GMW2" s="121"/>
      <c r="GMX2" s="121"/>
      <c r="GMY2" s="121"/>
      <c r="GMZ2" s="121"/>
      <c r="GNA2" s="121"/>
      <c r="GNB2" s="121"/>
      <c r="GNC2" s="121"/>
      <c r="GND2" s="121"/>
      <c r="GNE2" s="121"/>
      <c r="GNF2" s="121"/>
      <c r="GNG2" s="121"/>
      <c r="GNH2" s="121"/>
      <c r="GNI2" s="121"/>
      <c r="GNJ2" s="121"/>
      <c r="GNK2" s="121"/>
      <c r="GNL2" s="121"/>
      <c r="GNM2" s="121"/>
      <c r="GNN2" s="121"/>
      <c r="GNO2" s="121"/>
      <c r="GNP2" s="121"/>
      <c r="GNQ2" s="121"/>
      <c r="GNR2" s="121"/>
      <c r="GNS2" s="121"/>
      <c r="GNT2" s="121"/>
      <c r="GNU2" s="121"/>
      <c r="GNV2" s="121"/>
      <c r="GNW2" s="121"/>
      <c r="GNX2" s="121"/>
      <c r="GNY2" s="121"/>
      <c r="GNZ2" s="121"/>
      <c r="GOA2" s="121"/>
      <c r="GOB2" s="121"/>
      <c r="GOC2" s="121"/>
      <c r="GOD2" s="121"/>
      <c r="GOE2" s="121"/>
      <c r="GOF2" s="121"/>
      <c r="GOG2" s="121"/>
      <c r="GOH2" s="121"/>
      <c r="GOI2" s="121"/>
      <c r="GOJ2" s="121"/>
      <c r="GOK2" s="121"/>
      <c r="GOL2" s="121"/>
      <c r="GOM2" s="121"/>
      <c r="GON2" s="121"/>
      <c r="GOO2" s="121"/>
      <c r="GOP2" s="121"/>
      <c r="GOQ2" s="121"/>
      <c r="GOR2" s="121"/>
      <c r="GOS2" s="121"/>
      <c r="GOT2" s="121"/>
      <c r="GOU2" s="121"/>
      <c r="GOV2" s="121"/>
      <c r="GOW2" s="121"/>
      <c r="GOX2" s="121"/>
      <c r="GOY2" s="121"/>
      <c r="GOZ2" s="121"/>
      <c r="GPA2" s="121"/>
      <c r="GPB2" s="121"/>
      <c r="GPC2" s="121"/>
      <c r="GPD2" s="121"/>
      <c r="GPE2" s="121"/>
      <c r="GPF2" s="121"/>
      <c r="GPG2" s="121"/>
      <c r="GPH2" s="121"/>
      <c r="GPI2" s="121"/>
      <c r="GPJ2" s="121"/>
      <c r="GPK2" s="121"/>
      <c r="GPL2" s="121"/>
      <c r="GPM2" s="121"/>
      <c r="GPN2" s="121"/>
      <c r="GPO2" s="121"/>
      <c r="GPP2" s="121"/>
      <c r="GPQ2" s="121"/>
      <c r="GPR2" s="121"/>
      <c r="GPS2" s="121"/>
      <c r="GPT2" s="121"/>
      <c r="GPU2" s="121"/>
      <c r="GPV2" s="121"/>
      <c r="GPW2" s="121"/>
      <c r="GPX2" s="121"/>
      <c r="GPY2" s="121"/>
      <c r="GPZ2" s="121"/>
      <c r="GQA2" s="121"/>
      <c r="GQB2" s="121"/>
      <c r="GQC2" s="121"/>
      <c r="GQD2" s="121"/>
      <c r="GQE2" s="121"/>
      <c r="GQF2" s="121"/>
      <c r="GQG2" s="121"/>
      <c r="GQH2" s="121"/>
      <c r="GQI2" s="121"/>
      <c r="GQJ2" s="121"/>
      <c r="GQK2" s="121"/>
      <c r="GQL2" s="121"/>
      <c r="GQM2" s="121"/>
      <c r="GQN2" s="121"/>
      <c r="GQO2" s="121"/>
      <c r="GQP2" s="121"/>
      <c r="GQQ2" s="121"/>
      <c r="GQR2" s="121"/>
      <c r="GQS2" s="121"/>
      <c r="GQT2" s="121"/>
      <c r="GQU2" s="121"/>
      <c r="GQV2" s="121"/>
      <c r="GQW2" s="121"/>
      <c r="GQX2" s="121"/>
      <c r="GQY2" s="121"/>
      <c r="GQZ2" s="121"/>
      <c r="GRA2" s="121"/>
      <c r="GRB2" s="121"/>
      <c r="GRC2" s="121"/>
      <c r="GRD2" s="121"/>
      <c r="GRE2" s="121"/>
      <c r="GRF2" s="121"/>
      <c r="GRG2" s="121"/>
      <c r="GRH2" s="121"/>
      <c r="GRI2" s="121"/>
      <c r="GRJ2" s="121"/>
      <c r="GRK2" s="121"/>
      <c r="GRL2" s="121"/>
      <c r="GRM2" s="121"/>
      <c r="GRN2" s="121"/>
      <c r="GRO2" s="121"/>
      <c r="GRP2" s="121"/>
      <c r="GRQ2" s="121"/>
      <c r="GRR2" s="121"/>
      <c r="GRS2" s="121"/>
      <c r="GRT2" s="121"/>
      <c r="GRU2" s="121"/>
      <c r="GRV2" s="121"/>
      <c r="GRW2" s="121"/>
      <c r="GRX2" s="121"/>
      <c r="GRY2" s="121"/>
      <c r="GRZ2" s="121"/>
      <c r="GSA2" s="121"/>
      <c r="GSB2" s="121"/>
      <c r="GSC2" s="121"/>
      <c r="GSD2" s="121"/>
      <c r="GSE2" s="121"/>
      <c r="GSF2" s="121"/>
      <c r="GSG2" s="121"/>
      <c r="GSH2" s="121"/>
      <c r="GSI2" s="121"/>
      <c r="GSJ2" s="121"/>
      <c r="GSK2" s="121"/>
      <c r="GSL2" s="121"/>
      <c r="GSM2" s="121"/>
      <c r="GSN2" s="121"/>
      <c r="GSO2" s="121"/>
      <c r="GSP2" s="121"/>
      <c r="GSQ2" s="121"/>
      <c r="GSR2" s="121"/>
      <c r="GSS2" s="121"/>
      <c r="GST2" s="121"/>
      <c r="GSU2" s="121"/>
      <c r="GSV2" s="121"/>
      <c r="GSW2" s="121"/>
      <c r="GSX2" s="121"/>
      <c r="GSY2" s="121"/>
      <c r="GSZ2" s="121"/>
      <c r="GTA2" s="121"/>
      <c r="GTB2" s="121"/>
      <c r="GTC2" s="121"/>
      <c r="GTD2" s="121"/>
      <c r="GTE2" s="121"/>
      <c r="GTF2" s="121"/>
      <c r="GTG2" s="121"/>
      <c r="GTH2" s="121"/>
      <c r="GTI2" s="121"/>
      <c r="GTJ2" s="121"/>
      <c r="GTK2" s="121"/>
      <c r="GTL2" s="121"/>
      <c r="GTM2" s="121"/>
      <c r="GTN2" s="121"/>
      <c r="GTO2" s="121"/>
      <c r="GTP2" s="121"/>
      <c r="GTQ2" s="121"/>
      <c r="GTR2" s="121"/>
      <c r="GTS2" s="121"/>
      <c r="GTT2" s="121"/>
      <c r="GTU2" s="121"/>
      <c r="GTV2" s="121"/>
      <c r="GTW2" s="121"/>
      <c r="GTX2" s="121"/>
      <c r="GTY2" s="121"/>
      <c r="GTZ2" s="121"/>
      <c r="GUA2" s="121"/>
      <c r="GUB2" s="121"/>
      <c r="GUC2" s="121"/>
      <c r="GUD2" s="121"/>
      <c r="GUE2" s="121"/>
      <c r="GUF2" s="121"/>
      <c r="GUG2" s="121"/>
      <c r="GUH2" s="121"/>
      <c r="GUI2" s="121"/>
      <c r="GUJ2" s="121"/>
      <c r="GUK2" s="121"/>
      <c r="GUL2" s="121"/>
      <c r="GUM2" s="121"/>
      <c r="GUN2" s="121"/>
      <c r="GUO2" s="121"/>
      <c r="GUP2" s="121"/>
      <c r="GUQ2" s="121"/>
      <c r="GUR2" s="121"/>
      <c r="GUS2" s="121"/>
      <c r="GUT2" s="121"/>
      <c r="GUU2" s="121"/>
      <c r="GUV2" s="121"/>
      <c r="GUW2" s="121"/>
      <c r="GUX2" s="121"/>
      <c r="GUY2" s="121"/>
      <c r="GUZ2" s="121"/>
      <c r="GVA2" s="121"/>
      <c r="GVB2" s="121"/>
      <c r="GVC2" s="121"/>
      <c r="GVD2" s="121"/>
      <c r="GVE2" s="121"/>
      <c r="GVF2" s="121"/>
      <c r="GVG2" s="121"/>
      <c r="GVH2" s="121"/>
      <c r="GVI2" s="121"/>
      <c r="GVJ2" s="121"/>
      <c r="GVK2" s="121"/>
      <c r="GVL2" s="121"/>
      <c r="GVM2" s="121"/>
      <c r="GVN2" s="121"/>
      <c r="GVO2" s="121"/>
      <c r="GVP2" s="121"/>
      <c r="GVQ2" s="121"/>
      <c r="GVR2" s="121"/>
      <c r="GVS2" s="121"/>
      <c r="GVT2" s="121"/>
      <c r="GVU2" s="121"/>
      <c r="GVV2" s="121"/>
      <c r="GVW2" s="121"/>
      <c r="GVX2" s="121"/>
      <c r="GVY2" s="121"/>
      <c r="GVZ2" s="121"/>
      <c r="GWA2" s="121"/>
      <c r="GWB2" s="121"/>
      <c r="GWC2" s="121"/>
      <c r="GWD2" s="121"/>
      <c r="GWE2" s="121"/>
      <c r="GWF2" s="121"/>
      <c r="GWG2" s="121"/>
      <c r="GWH2" s="121"/>
      <c r="GWI2" s="121"/>
      <c r="GWJ2" s="121"/>
      <c r="GWK2" s="121"/>
      <c r="GWL2" s="121"/>
      <c r="GWM2" s="121"/>
      <c r="GWN2" s="121"/>
      <c r="GWO2" s="121"/>
      <c r="GWP2" s="121"/>
      <c r="GWQ2" s="121"/>
      <c r="GWR2" s="121"/>
      <c r="GWS2" s="121"/>
      <c r="GWT2" s="121"/>
      <c r="GWU2" s="121"/>
      <c r="GWV2" s="121"/>
      <c r="GWW2" s="121"/>
      <c r="GWX2" s="121"/>
      <c r="GWY2" s="121"/>
      <c r="GWZ2" s="121"/>
      <c r="GXA2" s="121"/>
      <c r="GXB2" s="121"/>
      <c r="GXC2" s="121"/>
      <c r="GXD2" s="121"/>
      <c r="GXE2" s="121"/>
      <c r="GXF2" s="121"/>
      <c r="GXG2" s="121"/>
      <c r="GXH2" s="121"/>
      <c r="GXI2" s="121"/>
      <c r="GXJ2" s="121"/>
      <c r="GXK2" s="121"/>
      <c r="GXL2" s="121"/>
      <c r="GXM2" s="121"/>
      <c r="GXN2" s="121"/>
      <c r="GXO2" s="121"/>
      <c r="GXP2" s="121"/>
      <c r="GXQ2" s="121"/>
      <c r="GXR2" s="121"/>
      <c r="GXS2" s="121"/>
      <c r="GXT2" s="121"/>
      <c r="GXU2" s="121"/>
      <c r="GXV2" s="121"/>
      <c r="GXW2" s="121"/>
      <c r="GXX2" s="121"/>
      <c r="GXY2" s="121"/>
      <c r="GXZ2" s="121"/>
      <c r="GYA2" s="121"/>
      <c r="GYB2" s="121"/>
      <c r="GYC2" s="121"/>
      <c r="GYD2" s="121"/>
      <c r="GYE2" s="121"/>
      <c r="GYF2" s="121"/>
      <c r="GYG2" s="121"/>
      <c r="GYH2" s="121"/>
      <c r="GYI2" s="121"/>
      <c r="GYJ2" s="121"/>
      <c r="GYK2" s="121"/>
      <c r="GYL2" s="121"/>
      <c r="GYM2" s="121"/>
      <c r="GYN2" s="121"/>
      <c r="GYO2" s="121"/>
      <c r="GYP2" s="121"/>
      <c r="GYQ2" s="121"/>
      <c r="GYR2" s="121"/>
      <c r="GYS2" s="121"/>
      <c r="GYT2" s="121"/>
      <c r="GYU2" s="121"/>
      <c r="GYV2" s="121"/>
      <c r="GYW2" s="121"/>
      <c r="GYX2" s="121"/>
      <c r="GYY2" s="121"/>
      <c r="GYZ2" s="121"/>
      <c r="GZA2" s="121"/>
      <c r="GZB2" s="121"/>
      <c r="GZC2" s="121"/>
      <c r="GZD2" s="121"/>
      <c r="GZE2" s="121"/>
      <c r="GZF2" s="121"/>
      <c r="GZG2" s="121"/>
      <c r="GZH2" s="121"/>
      <c r="GZI2" s="121"/>
      <c r="GZJ2" s="121"/>
      <c r="GZK2" s="121"/>
      <c r="GZL2" s="121"/>
      <c r="GZM2" s="121"/>
      <c r="GZN2" s="121"/>
      <c r="GZO2" s="121"/>
      <c r="GZP2" s="121"/>
      <c r="GZQ2" s="121"/>
      <c r="GZR2" s="121"/>
      <c r="GZS2" s="121"/>
      <c r="GZT2" s="121"/>
      <c r="GZU2" s="121"/>
      <c r="GZV2" s="121"/>
      <c r="GZW2" s="121"/>
      <c r="GZX2" s="121"/>
      <c r="GZY2" s="121"/>
      <c r="GZZ2" s="121"/>
      <c r="HAA2" s="121"/>
      <c r="HAB2" s="121"/>
      <c r="HAC2" s="121"/>
      <c r="HAD2" s="121"/>
      <c r="HAE2" s="121"/>
      <c r="HAF2" s="121"/>
      <c r="HAG2" s="121"/>
      <c r="HAH2" s="121"/>
      <c r="HAI2" s="121"/>
      <c r="HAJ2" s="121"/>
      <c r="HAK2" s="121"/>
      <c r="HAL2" s="121"/>
      <c r="HAM2" s="121"/>
      <c r="HAN2" s="121"/>
      <c r="HAO2" s="121"/>
      <c r="HAP2" s="121"/>
      <c r="HAQ2" s="121"/>
      <c r="HAR2" s="121"/>
      <c r="HAS2" s="121"/>
      <c r="HAT2" s="121"/>
      <c r="HAU2" s="121"/>
      <c r="HAV2" s="121"/>
      <c r="HAW2" s="121"/>
      <c r="HAX2" s="121"/>
      <c r="HAY2" s="121"/>
      <c r="HAZ2" s="121"/>
      <c r="HBA2" s="121"/>
      <c r="HBB2" s="121"/>
      <c r="HBC2" s="121"/>
      <c r="HBD2" s="121"/>
      <c r="HBE2" s="121"/>
      <c r="HBF2" s="121"/>
      <c r="HBG2" s="121"/>
      <c r="HBH2" s="121"/>
      <c r="HBI2" s="121"/>
      <c r="HBJ2" s="121"/>
      <c r="HBK2" s="121"/>
      <c r="HBL2" s="121"/>
      <c r="HBM2" s="121"/>
      <c r="HBN2" s="121"/>
      <c r="HBO2" s="121"/>
      <c r="HBP2" s="121"/>
      <c r="HBQ2" s="121"/>
      <c r="HBR2" s="121"/>
      <c r="HBS2" s="121"/>
      <c r="HBT2" s="121"/>
      <c r="HBU2" s="121"/>
      <c r="HBV2" s="121"/>
      <c r="HBW2" s="121"/>
      <c r="HBX2" s="121"/>
      <c r="HBY2" s="121"/>
      <c r="HBZ2" s="121"/>
      <c r="HCA2" s="121"/>
      <c r="HCB2" s="121"/>
      <c r="HCC2" s="121"/>
      <c r="HCD2" s="121"/>
      <c r="HCE2" s="121"/>
      <c r="HCF2" s="121"/>
      <c r="HCG2" s="121"/>
      <c r="HCH2" s="121"/>
      <c r="HCI2" s="121"/>
      <c r="HCJ2" s="121"/>
      <c r="HCK2" s="121"/>
      <c r="HCL2" s="121"/>
      <c r="HCM2" s="121"/>
      <c r="HCN2" s="121"/>
      <c r="HCO2" s="121"/>
      <c r="HCP2" s="121"/>
      <c r="HCQ2" s="121"/>
      <c r="HCR2" s="121"/>
      <c r="HCS2" s="121"/>
      <c r="HCT2" s="121"/>
      <c r="HCU2" s="121"/>
      <c r="HCV2" s="121"/>
      <c r="HCW2" s="121"/>
      <c r="HCX2" s="121"/>
      <c r="HCY2" s="121"/>
      <c r="HCZ2" s="121"/>
      <c r="HDA2" s="121"/>
      <c r="HDB2" s="121"/>
      <c r="HDC2" s="121"/>
      <c r="HDD2" s="121"/>
      <c r="HDE2" s="121"/>
      <c r="HDF2" s="121"/>
      <c r="HDG2" s="121"/>
      <c r="HDH2" s="121"/>
      <c r="HDI2" s="121"/>
      <c r="HDJ2" s="121"/>
      <c r="HDK2" s="121"/>
      <c r="HDL2" s="121"/>
      <c r="HDM2" s="121"/>
      <c r="HDN2" s="121"/>
      <c r="HDO2" s="121"/>
      <c r="HDP2" s="121"/>
      <c r="HDQ2" s="121"/>
      <c r="HDR2" s="121"/>
      <c r="HDS2" s="121"/>
      <c r="HDT2" s="121"/>
      <c r="HDU2" s="121"/>
      <c r="HDV2" s="121"/>
      <c r="HDW2" s="121"/>
      <c r="HDX2" s="121"/>
      <c r="HDY2" s="121"/>
      <c r="HDZ2" s="121"/>
      <c r="HEA2" s="121"/>
      <c r="HEB2" s="121"/>
      <c r="HEC2" s="121"/>
      <c r="HED2" s="121"/>
      <c r="HEE2" s="121"/>
      <c r="HEF2" s="121"/>
      <c r="HEG2" s="121"/>
      <c r="HEH2" s="121"/>
      <c r="HEI2" s="121"/>
      <c r="HEJ2" s="121"/>
      <c r="HEK2" s="121"/>
      <c r="HEL2" s="121"/>
      <c r="HEM2" s="121"/>
      <c r="HEN2" s="121"/>
      <c r="HEO2" s="121"/>
      <c r="HEP2" s="121"/>
      <c r="HEQ2" s="121"/>
      <c r="HER2" s="121"/>
      <c r="HES2" s="121"/>
      <c r="HET2" s="121"/>
      <c r="HEU2" s="121"/>
      <c r="HEV2" s="121"/>
      <c r="HEW2" s="121"/>
      <c r="HEX2" s="121"/>
      <c r="HEY2" s="121"/>
      <c r="HEZ2" s="121"/>
      <c r="HFA2" s="121"/>
      <c r="HFB2" s="121"/>
      <c r="HFC2" s="121"/>
      <c r="HFD2" s="121"/>
      <c r="HFE2" s="121"/>
      <c r="HFF2" s="121"/>
      <c r="HFG2" s="121"/>
      <c r="HFH2" s="121"/>
      <c r="HFI2" s="121"/>
      <c r="HFJ2" s="121"/>
      <c r="HFK2" s="121"/>
      <c r="HFL2" s="121"/>
      <c r="HFM2" s="121"/>
      <c r="HFN2" s="121"/>
      <c r="HFO2" s="121"/>
      <c r="HFP2" s="121"/>
      <c r="HFQ2" s="121"/>
      <c r="HFR2" s="121"/>
      <c r="HFS2" s="121"/>
      <c r="HFT2" s="121"/>
      <c r="HFU2" s="121"/>
      <c r="HFV2" s="121"/>
      <c r="HFW2" s="121"/>
      <c r="HFX2" s="121"/>
      <c r="HFY2" s="121"/>
      <c r="HFZ2" s="121"/>
      <c r="HGA2" s="121"/>
      <c r="HGB2" s="121"/>
      <c r="HGC2" s="121"/>
      <c r="HGD2" s="121"/>
      <c r="HGE2" s="121"/>
      <c r="HGF2" s="121"/>
      <c r="HGG2" s="121"/>
      <c r="HGH2" s="121"/>
      <c r="HGI2" s="121"/>
      <c r="HGJ2" s="121"/>
      <c r="HGK2" s="121"/>
      <c r="HGL2" s="121"/>
      <c r="HGM2" s="121"/>
      <c r="HGN2" s="121"/>
      <c r="HGO2" s="121"/>
      <c r="HGP2" s="121"/>
      <c r="HGQ2" s="121"/>
      <c r="HGR2" s="121"/>
      <c r="HGS2" s="121"/>
      <c r="HGT2" s="121"/>
      <c r="HGU2" s="121"/>
      <c r="HGV2" s="121"/>
      <c r="HGW2" s="121"/>
      <c r="HGX2" s="121"/>
      <c r="HGY2" s="121"/>
      <c r="HGZ2" s="121"/>
      <c r="HHA2" s="121"/>
      <c r="HHB2" s="121"/>
      <c r="HHC2" s="121"/>
      <c r="HHD2" s="121"/>
      <c r="HHE2" s="121"/>
      <c r="HHF2" s="121"/>
      <c r="HHG2" s="121"/>
      <c r="HHH2" s="121"/>
      <c r="HHI2" s="121"/>
      <c r="HHJ2" s="121"/>
      <c r="HHK2" s="121"/>
      <c r="HHL2" s="121"/>
      <c r="HHM2" s="121"/>
      <c r="HHN2" s="121"/>
      <c r="HHO2" s="121"/>
      <c r="HHP2" s="121"/>
      <c r="HHQ2" s="121"/>
      <c r="HHR2" s="121"/>
      <c r="HHS2" s="121"/>
      <c r="HHT2" s="121"/>
      <c r="HHU2" s="121"/>
      <c r="HHV2" s="121"/>
      <c r="HHW2" s="121"/>
      <c r="HHX2" s="121"/>
      <c r="HHY2" s="121"/>
      <c r="HHZ2" s="121"/>
      <c r="HIA2" s="121"/>
      <c r="HIB2" s="121"/>
      <c r="HIC2" s="121"/>
      <c r="HID2" s="121"/>
      <c r="HIE2" s="121"/>
      <c r="HIF2" s="121"/>
      <c r="HIG2" s="121"/>
      <c r="HIH2" s="121"/>
      <c r="HII2" s="121"/>
      <c r="HIJ2" s="121"/>
      <c r="HIK2" s="121"/>
      <c r="HIL2" s="121"/>
      <c r="HIM2" s="121"/>
      <c r="HIN2" s="121"/>
      <c r="HIO2" s="121"/>
      <c r="HIP2" s="121"/>
      <c r="HIQ2" s="121"/>
      <c r="HIR2" s="121"/>
      <c r="HIS2" s="121"/>
      <c r="HIT2" s="121"/>
      <c r="HIU2" s="121"/>
      <c r="HIV2" s="121"/>
      <c r="HIW2" s="121"/>
      <c r="HIX2" s="121"/>
      <c r="HIY2" s="121"/>
      <c r="HIZ2" s="121"/>
      <c r="HJA2" s="121"/>
      <c r="HJB2" s="121"/>
      <c r="HJC2" s="121"/>
      <c r="HJD2" s="121"/>
      <c r="HJE2" s="121"/>
      <c r="HJF2" s="121"/>
      <c r="HJG2" s="121"/>
      <c r="HJH2" s="121"/>
      <c r="HJI2" s="121"/>
      <c r="HJJ2" s="121"/>
      <c r="HJK2" s="121"/>
      <c r="HJL2" s="121"/>
      <c r="HJM2" s="121"/>
      <c r="HJN2" s="121"/>
      <c r="HJO2" s="121"/>
      <c r="HJP2" s="121"/>
      <c r="HJQ2" s="121"/>
      <c r="HJR2" s="121"/>
      <c r="HJS2" s="121"/>
      <c r="HJT2" s="121"/>
      <c r="HJU2" s="121"/>
      <c r="HJV2" s="121"/>
      <c r="HJW2" s="121"/>
      <c r="HJX2" s="121"/>
      <c r="HJY2" s="121"/>
      <c r="HJZ2" s="121"/>
      <c r="HKA2" s="121"/>
      <c r="HKB2" s="121"/>
      <c r="HKC2" s="121"/>
      <c r="HKD2" s="121"/>
      <c r="HKE2" s="121"/>
      <c r="HKF2" s="121"/>
      <c r="HKG2" s="121"/>
      <c r="HKH2" s="121"/>
      <c r="HKI2" s="121"/>
      <c r="HKJ2" s="121"/>
      <c r="HKK2" s="121"/>
      <c r="HKL2" s="121"/>
      <c r="HKM2" s="121"/>
      <c r="HKN2" s="121"/>
      <c r="HKO2" s="121"/>
      <c r="HKP2" s="121"/>
      <c r="HKQ2" s="121"/>
      <c r="HKR2" s="121"/>
      <c r="HKS2" s="121"/>
      <c r="HKT2" s="121"/>
      <c r="HKU2" s="121"/>
      <c r="HKV2" s="121"/>
      <c r="HKW2" s="121"/>
      <c r="HKX2" s="121"/>
      <c r="HKY2" s="121"/>
      <c r="HKZ2" s="121"/>
      <c r="HLA2" s="121"/>
      <c r="HLB2" s="121"/>
      <c r="HLC2" s="121"/>
      <c r="HLD2" s="121"/>
      <c r="HLE2" s="121"/>
      <c r="HLF2" s="121"/>
      <c r="HLG2" s="121"/>
      <c r="HLH2" s="121"/>
      <c r="HLI2" s="121"/>
      <c r="HLJ2" s="121"/>
      <c r="HLK2" s="121"/>
      <c r="HLL2" s="121"/>
      <c r="HLM2" s="121"/>
      <c r="HLN2" s="121"/>
      <c r="HLO2" s="121"/>
      <c r="HLP2" s="121"/>
      <c r="HLQ2" s="121"/>
      <c r="HLR2" s="121"/>
      <c r="HLS2" s="121"/>
      <c r="HLT2" s="121"/>
      <c r="HLU2" s="121"/>
      <c r="HLV2" s="121"/>
      <c r="HLW2" s="121"/>
      <c r="HLX2" s="121"/>
      <c r="HLY2" s="121"/>
      <c r="HLZ2" s="121"/>
      <c r="HMA2" s="121"/>
      <c r="HMB2" s="121"/>
      <c r="HMC2" s="121"/>
      <c r="HMD2" s="121"/>
      <c r="HME2" s="121"/>
      <c r="HMF2" s="121"/>
      <c r="HMG2" s="121"/>
      <c r="HMH2" s="121"/>
      <c r="HMI2" s="121"/>
      <c r="HMJ2" s="121"/>
      <c r="HMK2" s="121"/>
      <c r="HML2" s="121"/>
      <c r="HMM2" s="121"/>
      <c r="HMN2" s="121"/>
      <c r="HMO2" s="121"/>
      <c r="HMP2" s="121"/>
      <c r="HMQ2" s="121"/>
      <c r="HMR2" s="121"/>
      <c r="HMS2" s="121"/>
      <c r="HMT2" s="121"/>
      <c r="HMU2" s="121"/>
      <c r="HMV2" s="121"/>
      <c r="HMW2" s="121"/>
      <c r="HMX2" s="121"/>
      <c r="HMY2" s="121"/>
      <c r="HMZ2" s="121"/>
      <c r="HNA2" s="121"/>
      <c r="HNB2" s="121"/>
      <c r="HNC2" s="121"/>
      <c r="HND2" s="121"/>
      <c r="HNE2" s="121"/>
      <c r="HNF2" s="121"/>
      <c r="HNG2" s="121"/>
      <c r="HNH2" s="121"/>
      <c r="HNI2" s="121"/>
      <c r="HNJ2" s="121"/>
      <c r="HNK2" s="121"/>
      <c r="HNL2" s="121"/>
      <c r="HNM2" s="121"/>
      <c r="HNN2" s="121"/>
      <c r="HNO2" s="121"/>
      <c r="HNP2" s="121"/>
      <c r="HNQ2" s="121"/>
      <c r="HNR2" s="121"/>
      <c r="HNS2" s="121"/>
      <c r="HNT2" s="121"/>
      <c r="HNU2" s="121"/>
      <c r="HNV2" s="121"/>
      <c r="HNW2" s="121"/>
      <c r="HNX2" s="121"/>
      <c r="HNY2" s="121"/>
      <c r="HNZ2" s="121"/>
      <c r="HOA2" s="121"/>
      <c r="HOB2" s="121"/>
      <c r="HOC2" s="121"/>
      <c r="HOD2" s="121"/>
      <c r="HOE2" s="121"/>
      <c r="HOF2" s="121"/>
      <c r="HOG2" s="121"/>
      <c r="HOH2" s="121"/>
      <c r="HOI2" s="121"/>
      <c r="HOJ2" s="121"/>
      <c r="HOK2" s="121"/>
      <c r="HOL2" s="121"/>
      <c r="HOM2" s="121"/>
      <c r="HON2" s="121"/>
      <c r="HOO2" s="121"/>
      <c r="HOP2" s="121"/>
      <c r="HOQ2" s="121"/>
      <c r="HOR2" s="121"/>
      <c r="HOS2" s="121"/>
      <c r="HOT2" s="121"/>
      <c r="HOU2" s="121"/>
      <c r="HOV2" s="121"/>
      <c r="HOW2" s="121"/>
      <c r="HOX2" s="121"/>
      <c r="HOY2" s="121"/>
      <c r="HOZ2" s="121"/>
      <c r="HPA2" s="121"/>
      <c r="HPB2" s="121"/>
      <c r="HPC2" s="121"/>
      <c r="HPD2" s="121"/>
      <c r="HPE2" s="121"/>
      <c r="HPF2" s="121"/>
      <c r="HPG2" s="121"/>
      <c r="HPH2" s="121"/>
      <c r="HPI2" s="121"/>
      <c r="HPJ2" s="121"/>
      <c r="HPK2" s="121"/>
      <c r="HPL2" s="121"/>
      <c r="HPM2" s="121"/>
      <c r="HPN2" s="121"/>
      <c r="HPO2" s="121"/>
      <c r="HPP2" s="121"/>
      <c r="HPQ2" s="121"/>
      <c r="HPR2" s="121"/>
      <c r="HPS2" s="121"/>
      <c r="HPT2" s="121"/>
      <c r="HPU2" s="121"/>
      <c r="HPV2" s="121"/>
      <c r="HPW2" s="121"/>
      <c r="HPX2" s="121"/>
      <c r="HPY2" s="121"/>
      <c r="HPZ2" s="121"/>
      <c r="HQA2" s="121"/>
      <c r="HQB2" s="121"/>
      <c r="HQC2" s="121"/>
      <c r="HQD2" s="121"/>
      <c r="HQE2" s="121"/>
      <c r="HQF2" s="121"/>
      <c r="HQG2" s="121"/>
      <c r="HQH2" s="121"/>
      <c r="HQI2" s="121"/>
      <c r="HQJ2" s="121"/>
      <c r="HQK2" s="121"/>
      <c r="HQL2" s="121"/>
      <c r="HQM2" s="121"/>
      <c r="HQN2" s="121"/>
      <c r="HQO2" s="121"/>
      <c r="HQP2" s="121"/>
      <c r="HQQ2" s="121"/>
      <c r="HQR2" s="121"/>
      <c r="HQS2" s="121"/>
      <c r="HQT2" s="121"/>
      <c r="HQU2" s="121"/>
      <c r="HQV2" s="121"/>
      <c r="HQW2" s="121"/>
      <c r="HQX2" s="121"/>
      <c r="HQY2" s="121"/>
      <c r="HQZ2" s="121"/>
      <c r="HRA2" s="121"/>
      <c r="HRB2" s="121"/>
      <c r="HRC2" s="121"/>
      <c r="HRD2" s="121"/>
      <c r="HRE2" s="121"/>
      <c r="HRF2" s="121"/>
      <c r="HRG2" s="121"/>
      <c r="HRH2" s="121"/>
      <c r="HRI2" s="121"/>
      <c r="HRJ2" s="121"/>
      <c r="HRK2" s="121"/>
      <c r="HRL2" s="121"/>
      <c r="HRM2" s="121"/>
      <c r="HRN2" s="121"/>
      <c r="HRO2" s="121"/>
      <c r="HRP2" s="121"/>
      <c r="HRQ2" s="121"/>
      <c r="HRR2" s="121"/>
      <c r="HRS2" s="121"/>
      <c r="HRT2" s="121"/>
      <c r="HRU2" s="121"/>
      <c r="HRV2" s="121"/>
      <c r="HRW2" s="121"/>
      <c r="HRX2" s="121"/>
      <c r="HRY2" s="121"/>
      <c r="HRZ2" s="121"/>
      <c r="HSA2" s="121"/>
      <c r="HSB2" s="121"/>
      <c r="HSC2" s="121"/>
      <c r="HSD2" s="121"/>
      <c r="HSE2" s="121"/>
      <c r="HSF2" s="121"/>
      <c r="HSG2" s="121"/>
      <c r="HSH2" s="121"/>
      <c r="HSI2" s="121"/>
      <c r="HSJ2" s="121"/>
      <c r="HSK2" s="121"/>
      <c r="HSL2" s="121"/>
      <c r="HSM2" s="121"/>
      <c r="HSN2" s="121"/>
      <c r="HSO2" s="121"/>
      <c r="HSP2" s="121"/>
      <c r="HSQ2" s="121"/>
      <c r="HSR2" s="121"/>
      <c r="HSS2" s="121"/>
      <c r="HST2" s="121"/>
      <c r="HSU2" s="121"/>
      <c r="HSV2" s="121"/>
      <c r="HSW2" s="121"/>
      <c r="HSX2" s="121"/>
      <c r="HSY2" s="121"/>
      <c r="HSZ2" s="121"/>
      <c r="HTA2" s="121"/>
      <c r="HTB2" s="121"/>
      <c r="HTC2" s="121"/>
      <c r="HTD2" s="121"/>
      <c r="HTE2" s="121"/>
      <c r="HTF2" s="121"/>
      <c r="HTG2" s="121"/>
      <c r="HTH2" s="121"/>
      <c r="HTI2" s="121"/>
      <c r="HTJ2" s="121"/>
      <c r="HTK2" s="121"/>
      <c r="HTL2" s="121"/>
      <c r="HTM2" s="121"/>
      <c r="HTN2" s="121"/>
      <c r="HTO2" s="121"/>
      <c r="HTP2" s="121"/>
      <c r="HTQ2" s="121"/>
      <c r="HTR2" s="121"/>
      <c r="HTS2" s="121"/>
      <c r="HTT2" s="121"/>
      <c r="HTU2" s="121"/>
      <c r="HTV2" s="121"/>
      <c r="HTW2" s="121"/>
      <c r="HTX2" s="121"/>
      <c r="HTY2" s="121"/>
      <c r="HTZ2" s="121"/>
      <c r="HUA2" s="121"/>
      <c r="HUB2" s="121"/>
      <c r="HUC2" s="121"/>
      <c r="HUD2" s="121"/>
      <c r="HUE2" s="121"/>
      <c r="HUF2" s="121"/>
      <c r="HUG2" s="121"/>
      <c r="HUH2" s="121"/>
      <c r="HUI2" s="121"/>
      <c r="HUJ2" s="121"/>
      <c r="HUK2" s="121"/>
      <c r="HUL2" s="121"/>
      <c r="HUM2" s="121"/>
      <c r="HUN2" s="121"/>
      <c r="HUO2" s="121"/>
      <c r="HUP2" s="121"/>
      <c r="HUQ2" s="121"/>
      <c r="HUR2" s="121"/>
      <c r="HUS2" s="121"/>
      <c r="HUT2" s="121"/>
      <c r="HUU2" s="121"/>
      <c r="HUV2" s="121"/>
      <c r="HUW2" s="121"/>
      <c r="HUX2" s="121"/>
      <c r="HUY2" s="121"/>
      <c r="HUZ2" s="121"/>
      <c r="HVA2" s="121"/>
      <c r="HVB2" s="121"/>
      <c r="HVC2" s="121"/>
      <c r="HVD2" s="121"/>
      <c r="HVE2" s="121"/>
      <c r="HVF2" s="121"/>
      <c r="HVG2" s="121"/>
      <c r="HVH2" s="121"/>
      <c r="HVI2" s="121"/>
      <c r="HVJ2" s="121"/>
      <c r="HVK2" s="121"/>
      <c r="HVL2" s="121"/>
      <c r="HVM2" s="121"/>
      <c r="HVN2" s="121"/>
      <c r="HVO2" s="121"/>
      <c r="HVP2" s="121"/>
      <c r="HVQ2" s="121"/>
      <c r="HVR2" s="121"/>
      <c r="HVS2" s="121"/>
      <c r="HVT2" s="121"/>
      <c r="HVU2" s="121"/>
      <c r="HVV2" s="121"/>
      <c r="HVW2" s="121"/>
      <c r="HVX2" s="121"/>
      <c r="HVY2" s="121"/>
      <c r="HVZ2" s="121"/>
      <c r="HWA2" s="121"/>
      <c r="HWB2" s="121"/>
      <c r="HWC2" s="121"/>
      <c r="HWD2" s="121"/>
      <c r="HWE2" s="121"/>
      <c r="HWF2" s="121"/>
      <c r="HWG2" s="121"/>
      <c r="HWH2" s="121"/>
      <c r="HWI2" s="121"/>
      <c r="HWJ2" s="121"/>
      <c r="HWK2" s="121"/>
      <c r="HWL2" s="121"/>
      <c r="HWM2" s="121"/>
      <c r="HWN2" s="121"/>
      <c r="HWO2" s="121"/>
      <c r="HWP2" s="121"/>
      <c r="HWQ2" s="121"/>
      <c r="HWR2" s="121"/>
      <c r="HWS2" s="121"/>
      <c r="HWT2" s="121"/>
      <c r="HWU2" s="121"/>
      <c r="HWV2" s="121"/>
      <c r="HWW2" s="121"/>
      <c r="HWX2" s="121"/>
      <c r="HWY2" s="121"/>
      <c r="HWZ2" s="121"/>
      <c r="HXA2" s="121"/>
      <c r="HXB2" s="121"/>
      <c r="HXC2" s="121"/>
      <c r="HXD2" s="121"/>
      <c r="HXE2" s="121"/>
      <c r="HXF2" s="121"/>
      <c r="HXG2" s="121"/>
      <c r="HXH2" s="121"/>
      <c r="HXI2" s="121"/>
      <c r="HXJ2" s="121"/>
      <c r="HXK2" s="121"/>
      <c r="HXL2" s="121"/>
      <c r="HXM2" s="121"/>
      <c r="HXN2" s="121"/>
      <c r="HXO2" s="121"/>
      <c r="HXP2" s="121"/>
      <c r="HXQ2" s="121"/>
      <c r="HXR2" s="121"/>
      <c r="HXS2" s="121"/>
      <c r="HXT2" s="121"/>
      <c r="HXU2" s="121"/>
      <c r="HXV2" s="121"/>
      <c r="HXW2" s="121"/>
      <c r="HXX2" s="121"/>
      <c r="HXY2" s="121"/>
      <c r="HXZ2" s="121"/>
      <c r="HYA2" s="121"/>
      <c r="HYB2" s="121"/>
      <c r="HYC2" s="121"/>
      <c r="HYD2" s="121"/>
      <c r="HYE2" s="121"/>
      <c r="HYF2" s="121"/>
      <c r="HYG2" s="121"/>
      <c r="HYH2" s="121"/>
      <c r="HYI2" s="121"/>
      <c r="HYJ2" s="121"/>
      <c r="HYK2" s="121"/>
      <c r="HYL2" s="121"/>
      <c r="HYM2" s="121"/>
      <c r="HYN2" s="121"/>
      <c r="HYO2" s="121"/>
      <c r="HYP2" s="121"/>
      <c r="HYQ2" s="121"/>
      <c r="HYR2" s="121"/>
      <c r="HYS2" s="121"/>
      <c r="HYT2" s="121"/>
      <c r="HYU2" s="121"/>
      <c r="HYV2" s="121"/>
      <c r="HYW2" s="121"/>
      <c r="HYX2" s="121"/>
      <c r="HYY2" s="121"/>
      <c r="HYZ2" s="121"/>
      <c r="HZA2" s="121"/>
      <c r="HZB2" s="121"/>
      <c r="HZC2" s="121"/>
      <c r="HZD2" s="121"/>
      <c r="HZE2" s="121"/>
      <c r="HZF2" s="121"/>
      <c r="HZG2" s="121"/>
      <c r="HZH2" s="121"/>
      <c r="HZI2" s="121"/>
      <c r="HZJ2" s="121"/>
      <c r="HZK2" s="121"/>
      <c r="HZL2" s="121"/>
      <c r="HZM2" s="121"/>
      <c r="HZN2" s="121"/>
      <c r="HZO2" s="121"/>
      <c r="HZP2" s="121"/>
      <c r="HZQ2" s="121"/>
      <c r="HZR2" s="121"/>
      <c r="HZS2" s="121"/>
      <c r="HZT2" s="121"/>
      <c r="HZU2" s="121"/>
      <c r="HZV2" s="121"/>
      <c r="HZW2" s="121"/>
      <c r="HZX2" s="121"/>
      <c r="HZY2" s="121"/>
      <c r="HZZ2" s="121"/>
      <c r="IAA2" s="121"/>
      <c r="IAB2" s="121"/>
      <c r="IAC2" s="121"/>
      <c r="IAD2" s="121"/>
      <c r="IAE2" s="121"/>
      <c r="IAF2" s="121"/>
      <c r="IAG2" s="121"/>
      <c r="IAH2" s="121"/>
      <c r="IAI2" s="121"/>
      <c r="IAJ2" s="121"/>
      <c r="IAK2" s="121"/>
      <c r="IAL2" s="121"/>
      <c r="IAM2" s="121"/>
      <c r="IAN2" s="121"/>
      <c r="IAO2" s="121"/>
      <c r="IAP2" s="121"/>
      <c r="IAQ2" s="121"/>
      <c r="IAR2" s="121"/>
      <c r="IAS2" s="121"/>
      <c r="IAT2" s="121"/>
      <c r="IAU2" s="121"/>
      <c r="IAV2" s="121"/>
      <c r="IAW2" s="121"/>
      <c r="IAX2" s="121"/>
      <c r="IAY2" s="121"/>
      <c r="IAZ2" s="121"/>
      <c r="IBA2" s="121"/>
      <c r="IBB2" s="121"/>
      <c r="IBC2" s="121"/>
      <c r="IBD2" s="121"/>
      <c r="IBE2" s="121"/>
      <c r="IBF2" s="121"/>
      <c r="IBG2" s="121"/>
      <c r="IBH2" s="121"/>
      <c r="IBI2" s="121"/>
      <c r="IBJ2" s="121"/>
      <c r="IBK2" s="121"/>
      <c r="IBL2" s="121"/>
      <c r="IBM2" s="121"/>
      <c r="IBN2" s="121"/>
      <c r="IBO2" s="121"/>
      <c r="IBP2" s="121"/>
      <c r="IBQ2" s="121"/>
      <c r="IBR2" s="121"/>
      <c r="IBS2" s="121"/>
      <c r="IBT2" s="121"/>
      <c r="IBU2" s="121"/>
      <c r="IBV2" s="121"/>
      <c r="IBW2" s="121"/>
      <c r="IBX2" s="121"/>
      <c r="IBY2" s="121"/>
      <c r="IBZ2" s="121"/>
      <c r="ICA2" s="121"/>
      <c r="ICB2" s="121"/>
      <c r="ICC2" s="121"/>
      <c r="ICD2" s="121"/>
      <c r="ICE2" s="121"/>
      <c r="ICF2" s="121"/>
      <c r="ICG2" s="121"/>
      <c r="ICH2" s="121"/>
      <c r="ICI2" s="121"/>
      <c r="ICJ2" s="121"/>
      <c r="ICK2" s="121"/>
      <c r="ICL2" s="121"/>
      <c r="ICM2" s="121"/>
      <c r="ICN2" s="121"/>
      <c r="ICO2" s="121"/>
      <c r="ICP2" s="121"/>
      <c r="ICQ2" s="121"/>
      <c r="ICR2" s="121"/>
      <c r="ICS2" s="121"/>
      <c r="ICT2" s="121"/>
      <c r="ICU2" s="121"/>
      <c r="ICV2" s="121"/>
      <c r="ICW2" s="121"/>
      <c r="ICX2" s="121"/>
      <c r="ICY2" s="121"/>
      <c r="ICZ2" s="121"/>
      <c r="IDA2" s="121"/>
      <c r="IDB2" s="121"/>
      <c r="IDC2" s="121"/>
      <c r="IDD2" s="121"/>
      <c r="IDE2" s="121"/>
      <c r="IDF2" s="121"/>
      <c r="IDG2" s="121"/>
      <c r="IDH2" s="121"/>
      <c r="IDI2" s="121"/>
      <c r="IDJ2" s="121"/>
      <c r="IDK2" s="121"/>
      <c r="IDL2" s="121"/>
      <c r="IDM2" s="121"/>
      <c r="IDN2" s="121"/>
      <c r="IDO2" s="121"/>
      <c r="IDP2" s="121"/>
      <c r="IDQ2" s="121"/>
      <c r="IDR2" s="121"/>
      <c r="IDS2" s="121"/>
      <c r="IDT2" s="121"/>
      <c r="IDU2" s="121"/>
      <c r="IDV2" s="121"/>
      <c r="IDW2" s="121"/>
      <c r="IDX2" s="121"/>
      <c r="IDY2" s="121"/>
      <c r="IDZ2" s="121"/>
      <c r="IEA2" s="121"/>
      <c r="IEB2" s="121"/>
      <c r="IEC2" s="121"/>
      <c r="IED2" s="121"/>
      <c r="IEE2" s="121"/>
      <c r="IEF2" s="121"/>
      <c r="IEG2" s="121"/>
      <c r="IEH2" s="121"/>
      <c r="IEI2" s="121"/>
      <c r="IEJ2" s="121"/>
      <c r="IEK2" s="121"/>
      <c r="IEL2" s="121"/>
      <c r="IEM2" s="121"/>
      <c r="IEN2" s="121"/>
      <c r="IEO2" s="121"/>
      <c r="IEP2" s="121"/>
      <c r="IEQ2" s="121"/>
      <c r="IER2" s="121"/>
      <c r="IES2" s="121"/>
      <c r="IET2" s="121"/>
      <c r="IEU2" s="121"/>
      <c r="IEV2" s="121"/>
      <c r="IEW2" s="121"/>
      <c r="IEX2" s="121"/>
      <c r="IEY2" s="121"/>
      <c r="IEZ2" s="121"/>
      <c r="IFA2" s="121"/>
      <c r="IFB2" s="121"/>
      <c r="IFC2" s="121"/>
      <c r="IFD2" s="121"/>
      <c r="IFE2" s="121"/>
      <c r="IFF2" s="121"/>
      <c r="IFG2" s="121"/>
      <c r="IFH2" s="121"/>
      <c r="IFI2" s="121"/>
      <c r="IFJ2" s="121"/>
      <c r="IFK2" s="121"/>
      <c r="IFL2" s="121"/>
      <c r="IFM2" s="121"/>
      <c r="IFN2" s="121"/>
      <c r="IFO2" s="121"/>
      <c r="IFP2" s="121"/>
      <c r="IFQ2" s="121"/>
      <c r="IFR2" s="121"/>
      <c r="IFS2" s="121"/>
      <c r="IFT2" s="121"/>
      <c r="IFU2" s="121"/>
      <c r="IFV2" s="121"/>
      <c r="IFW2" s="121"/>
      <c r="IFX2" s="121"/>
      <c r="IFY2" s="121"/>
      <c r="IFZ2" s="121"/>
      <c r="IGA2" s="121"/>
      <c r="IGB2" s="121"/>
      <c r="IGC2" s="121"/>
      <c r="IGD2" s="121"/>
      <c r="IGE2" s="121"/>
      <c r="IGF2" s="121"/>
      <c r="IGG2" s="121"/>
      <c r="IGH2" s="121"/>
      <c r="IGI2" s="121"/>
      <c r="IGJ2" s="121"/>
      <c r="IGK2" s="121"/>
      <c r="IGL2" s="121"/>
      <c r="IGM2" s="121"/>
      <c r="IGN2" s="121"/>
      <c r="IGO2" s="121"/>
      <c r="IGP2" s="121"/>
      <c r="IGQ2" s="121"/>
      <c r="IGR2" s="121"/>
      <c r="IGS2" s="121"/>
      <c r="IGT2" s="121"/>
      <c r="IGU2" s="121"/>
      <c r="IGV2" s="121"/>
      <c r="IGW2" s="121"/>
      <c r="IGX2" s="121"/>
      <c r="IGY2" s="121"/>
      <c r="IGZ2" s="121"/>
      <c r="IHA2" s="121"/>
      <c r="IHB2" s="121"/>
      <c r="IHC2" s="121"/>
      <c r="IHD2" s="121"/>
      <c r="IHE2" s="121"/>
      <c r="IHF2" s="121"/>
      <c r="IHG2" s="121"/>
      <c r="IHH2" s="121"/>
      <c r="IHI2" s="121"/>
      <c r="IHJ2" s="121"/>
      <c r="IHK2" s="121"/>
      <c r="IHL2" s="121"/>
      <c r="IHM2" s="121"/>
      <c r="IHN2" s="121"/>
      <c r="IHO2" s="121"/>
      <c r="IHP2" s="121"/>
      <c r="IHQ2" s="121"/>
      <c r="IHR2" s="121"/>
      <c r="IHS2" s="121"/>
      <c r="IHT2" s="121"/>
      <c r="IHU2" s="121"/>
      <c r="IHV2" s="121"/>
      <c r="IHW2" s="121"/>
      <c r="IHX2" s="121"/>
      <c r="IHY2" s="121"/>
      <c r="IHZ2" s="121"/>
      <c r="IIA2" s="121"/>
      <c r="IIB2" s="121"/>
      <c r="IIC2" s="121"/>
      <c r="IID2" s="121"/>
      <c r="IIE2" s="121"/>
      <c r="IIF2" s="121"/>
      <c r="IIG2" s="121"/>
      <c r="IIH2" s="121"/>
      <c r="III2" s="121"/>
      <c r="IIJ2" s="121"/>
      <c r="IIK2" s="121"/>
      <c r="IIL2" s="121"/>
      <c r="IIM2" s="121"/>
      <c r="IIN2" s="121"/>
      <c r="IIO2" s="121"/>
      <c r="IIP2" s="121"/>
      <c r="IIQ2" s="121"/>
      <c r="IIR2" s="121"/>
      <c r="IIS2" s="121"/>
      <c r="IIT2" s="121"/>
      <c r="IIU2" s="121"/>
      <c r="IIV2" s="121"/>
      <c r="IIW2" s="121"/>
      <c r="IIX2" s="121"/>
      <c r="IIY2" s="121"/>
      <c r="IIZ2" s="121"/>
      <c r="IJA2" s="121"/>
      <c r="IJB2" s="121"/>
      <c r="IJC2" s="121"/>
      <c r="IJD2" s="121"/>
      <c r="IJE2" s="121"/>
      <c r="IJF2" s="121"/>
      <c r="IJG2" s="121"/>
      <c r="IJH2" s="121"/>
      <c r="IJI2" s="121"/>
      <c r="IJJ2" s="121"/>
      <c r="IJK2" s="121"/>
      <c r="IJL2" s="121"/>
      <c r="IJM2" s="121"/>
      <c r="IJN2" s="121"/>
      <c r="IJO2" s="121"/>
      <c r="IJP2" s="121"/>
      <c r="IJQ2" s="121"/>
      <c r="IJR2" s="121"/>
      <c r="IJS2" s="121"/>
      <c r="IJT2" s="121"/>
      <c r="IJU2" s="121"/>
      <c r="IJV2" s="121"/>
      <c r="IJW2" s="121"/>
      <c r="IJX2" s="121"/>
      <c r="IJY2" s="121"/>
      <c r="IJZ2" s="121"/>
      <c r="IKA2" s="121"/>
      <c r="IKB2" s="121"/>
      <c r="IKC2" s="121"/>
      <c r="IKD2" s="121"/>
      <c r="IKE2" s="121"/>
      <c r="IKF2" s="121"/>
      <c r="IKG2" s="121"/>
      <c r="IKH2" s="121"/>
      <c r="IKI2" s="121"/>
      <c r="IKJ2" s="121"/>
      <c r="IKK2" s="121"/>
      <c r="IKL2" s="121"/>
      <c r="IKM2" s="121"/>
      <c r="IKN2" s="121"/>
      <c r="IKO2" s="121"/>
      <c r="IKP2" s="121"/>
      <c r="IKQ2" s="121"/>
      <c r="IKR2" s="121"/>
      <c r="IKS2" s="121"/>
      <c r="IKT2" s="121"/>
      <c r="IKU2" s="121"/>
      <c r="IKV2" s="121"/>
      <c r="IKW2" s="121"/>
      <c r="IKX2" s="121"/>
      <c r="IKY2" s="121"/>
      <c r="IKZ2" s="121"/>
      <c r="ILA2" s="121"/>
      <c r="ILB2" s="121"/>
      <c r="ILC2" s="121"/>
      <c r="ILD2" s="121"/>
      <c r="ILE2" s="121"/>
      <c r="ILF2" s="121"/>
      <c r="ILG2" s="121"/>
      <c r="ILH2" s="121"/>
      <c r="ILI2" s="121"/>
      <c r="ILJ2" s="121"/>
      <c r="ILK2" s="121"/>
      <c r="ILL2" s="121"/>
      <c r="ILM2" s="121"/>
      <c r="ILN2" s="121"/>
      <c r="ILO2" s="121"/>
      <c r="ILP2" s="121"/>
      <c r="ILQ2" s="121"/>
      <c r="ILR2" s="121"/>
      <c r="ILS2" s="121"/>
      <c r="ILT2" s="121"/>
      <c r="ILU2" s="121"/>
      <c r="ILV2" s="121"/>
      <c r="ILW2" s="121"/>
      <c r="ILX2" s="121"/>
      <c r="ILY2" s="121"/>
      <c r="ILZ2" s="121"/>
      <c r="IMA2" s="121"/>
      <c r="IMB2" s="121"/>
      <c r="IMC2" s="121"/>
      <c r="IMD2" s="121"/>
      <c r="IME2" s="121"/>
      <c r="IMF2" s="121"/>
      <c r="IMG2" s="121"/>
      <c r="IMH2" s="121"/>
      <c r="IMI2" s="121"/>
      <c r="IMJ2" s="121"/>
      <c r="IMK2" s="121"/>
      <c r="IML2" s="121"/>
      <c r="IMM2" s="121"/>
      <c r="IMN2" s="121"/>
      <c r="IMO2" s="121"/>
      <c r="IMP2" s="121"/>
      <c r="IMQ2" s="121"/>
      <c r="IMR2" s="121"/>
      <c r="IMS2" s="121"/>
      <c r="IMT2" s="121"/>
      <c r="IMU2" s="121"/>
      <c r="IMV2" s="121"/>
      <c r="IMW2" s="121"/>
      <c r="IMX2" s="121"/>
      <c r="IMY2" s="121"/>
      <c r="IMZ2" s="121"/>
      <c r="INA2" s="121"/>
      <c r="INB2" s="121"/>
      <c r="INC2" s="121"/>
      <c r="IND2" s="121"/>
      <c r="INE2" s="121"/>
      <c r="INF2" s="121"/>
      <c r="ING2" s="121"/>
      <c r="INH2" s="121"/>
      <c r="INI2" s="121"/>
      <c r="INJ2" s="121"/>
      <c r="INK2" s="121"/>
      <c r="INL2" s="121"/>
      <c r="INM2" s="121"/>
      <c r="INN2" s="121"/>
      <c r="INO2" s="121"/>
      <c r="INP2" s="121"/>
      <c r="INQ2" s="121"/>
      <c r="INR2" s="121"/>
      <c r="INS2" s="121"/>
      <c r="INT2" s="121"/>
      <c r="INU2" s="121"/>
      <c r="INV2" s="121"/>
      <c r="INW2" s="121"/>
      <c r="INX2" s="121"/>
      <c r="INY2" s="121"/>
      <c r="INZ2" s="121"/>
      <c r="IOA2" s="121"/>
      <c r="IOB2" s="121"/>
      <c r="IOC2" s="121"/>
      <c r="IOD2" s="121"/>
      <c r="IOE2" s="121"/>
      <c r="IOF2" s="121"/>
      <c r="IOG2" s="121"/>
      <c r="IOH2" s="121"/>
      <c r="IOI2" s="121"/>
      <c r="IOJ2" s="121"/>
      <c r="IOK2" s="121"/>
      <c r="IOL2" s="121"/>
      <c r="IOM2" s="121"/>
      <c r="ION2" s="121"/>
      <c r="IOO2" s="121"/>
      <c r="IOP2" s="121"/>
      <c r="IOQ2" s="121"/>
      <c r="IOR2" s="121"/>
      <c r="IOS2" s="121"/>
      <c r="IOT2" s="121"/>
      <c r="IOU2" s="121"/>
      <c r="IOV2" s="121"/>
      <c r="IOW2" s="121"/>
      <c r="IOX2" s="121"/>
      <c r="IOY2" s="121"/>
      <c r="IOZ2" s="121"/>
      <c r="IPA2" s="121"/>
      <c r="IPB2" s="121"/>
      <c r="IPC2" s="121"/>
      <c r="IPD2" s="121"/>
      <c r="IPE2" s="121"/>
      <c r="IPF2" s="121"/>
      <c r="IPG2" s="121"/>
      <c r="IPH2" s="121"/>
      <c r="IPI2" s="121"/>
      <c r="IPJ2" s="121"/>
      <c r="IPK2" s="121"/>
      <c r="IPL2" s="121"/>
      <c r="IPM2" s="121"/>
      <c r="IPN2" s="121"/>
      <c r="IPO2" s="121"/>
      <c r="IPP2" s="121"/>
      <c r="IPQ2" s="121"/>
      <c r="IPR2" s="121"/>
      <c r="IPS2" s="121"/>
      <c r="IPT2" s="121"/>
      <c r="IPU2" s="121"/>
      <c r="IPV2" s="121"/>
      <c r="IPW2" s="121"/>
      <c r="IPX2" s="121"/>
      <c r="IPY2" s="121"/>
      <c r="IPZ2" s="121"/>
      <c r="IQA2" s="121"/>
      <c r="IQB2" s="121"/>
      <c r="IQC2" s="121"/>
      <c r="IQD2" s="121"/>
      <c r="IQE2" s="121"/>
      <c r="IQF2" s="121"/>
      <c r="IQG2" s="121"/>
      <c r="IQH2" s="121"/>
      <c r="IQI2" s="121"/>
      <c r="IQJ2" s="121"/>
      <c r="IQK2" s="121"/>
      <c r="IQL2" s="121"/>
      <c r="IQM2" s="121"/>
      <c r="IQN2" s="121"/>
      <c r="IQO2" s="121"/>
      <c r="IQP2" s="121"/>
      <c r="IQQ2" s="121"/>
      <c r="IQR2" s="121"/>
      <c r="IQS2" s="121"/>
      <c r="IQT2" s="121"/>
      <c r="IQU2" s="121"/>
      <c r="IQV2" s="121"/>
      <c r="IQW2" s="121"/>
      <c r="IQX2" s="121"/>
      <c r="IQY2" s="121"/>
      <c r="IQZ2" s="121"/>
      <c r="IRA2" s="121"/>
      <c r="IRB2" s="121"/>
      <c r="IRC2" s="121"/>
      <c r="IRD2" s="121"/>
      <c r="IRE2" s="121"/>
      <c r="IRF2" s="121"/>
      <c r="IRG2" s="121"/>
      <c r="IRH2" s="121"/>
      <c r="IRI2" s="121"/>
      <c r="IRJ2" s="121"/>
      <c r="IRK2" s="121"/>
      <c r="IRL2" s="121"/>
      <c r="IRM2" s="121"/>
      <c r="IRN2" s="121"/>
      <c r="IRO2" s="121"/>
      <c r="IRP2" s="121"/>
      <c r="IRQ2" s="121"/>
      <c r="IRR2" s="121"/>
      <c r="IRS2" s="121"/>
      <c r="IRT2" s="121"/>
      <c r="IRU2" s="121"/>
      <c r="IRV2" s="121"/>
      <c r="IRW2" s="121"/>
      <c r="IRX2" s="121"/>
      <c r="IRY2" s="121"/>
      <c r="IRZ2" s="121"/>
      <c r="ISA2" s="121"/>
      <c r="ISB2" s="121"/>
      <c r="ISC2" s="121"/>
      <c r="ISD2" s="121"/>
      <c r="ISE2" s="121"/>
      <c r="ISF2" s="121"/>
      <c r="ISG2" s="121"/>
      <c r="ISH2" s="121"/>
      <c r="ISI2" s="121"/>
      <c r="ISJ2" s="121"/>
      <c r="ISK2" s="121"/>
      <c r="ISL2" s="121"/>
      <c r="ISM2" s="121"/>
      <c r="ISN2" s="121"/>
      <c r="ISO2" s="121"/>
      <c r="ISP2" s="121"/>
      <c r="ISQ2" s="121"/>
      <c r="ISR2" s="121"/>
      <c r="ISS2" s="121"/>
      <c r="IST2" s="121"/>
      <c r="ISU2" s="121"/>
      <c r="ISV2" s="121"/>
      <c r="ISW2" s="121"/>
      <c r="ISX2" s="121"/>
      <c r="ISY2" s="121"/>
      <c r="ISZ2" s="121"/>
      <c r="ITA2" s="121"/>
      <c r="ITB2" s="121"/>
      <c r="ITC2" s="121"/>
      <c r="ITD2" s="121"/>
      <c r="ITE2" s="121"/>
      <c r="ITF2" s="121"/>
      <c r="ITG2" s="121"/>
      <c r="ITH2" s="121"/>
      <c r="ITI2" s="121"/>
      <c r="ITJ2" s="121"/>
      <c r="ITK2" s="121"/>
      <c r="ITL2" s="121"/>
      <c r="ITM2" s="121"/>
      <c r="ITN2" s="121"/>
      <c r="ITO2" s="121"/>
      <c r="ITP2" s="121"/>
      <c r="ITQ2" s="121"/>
      <c r="ITR2" s="121"/>
      <c r="ITS2" s="121"/>
      <c r="ITT2" s="121"/>
      <c r="ITU2" s="121"/>
      <c r="ITV2" s="121"/>
      <c r="ITW2" s="121"/>
      <c r="ITX2" s="121"/>
      <c r="ITY2" s="121"/>
      <c r="ITZ2" s="121"/>
      <c r="IUA2" s="121"/>
      <c r="IUB2" s="121"/>
      <c r="IUC2" s="121"/>
      <c r="IUD2" s="121"/>
      <c r="IUE2" s="121"/>
      <c r="IUF2" s="121"/>
      <c r="IUG2" s="121"/>
      <c r="IUH2" s="121"/>
      <c r="IUI2" s="121"/>
      <c r="IUJ2" s="121"/>
      <c r="IUK2" s="121"/>
      <c r="IUL2" s="121"/>
      <c r="IUM2" s="121"/>
      <c r="IUN2" s="121"/>
      <c r="IUO2" s="121"/>
      <c r="IUP2" s="121"/>
      <c r="IUQ2" s="121"/>
      <c r="IUR2" s="121"/>
      <c r="IUS2" s="121"/>
      <c r="IUT2" s="121"/>
      <c r="IUU2" s="121"/>
      <c r="IUV2" s="121"/>
      <c r="IUW2" s="121"/>
      <c r="IUX2" s="121"/>
      <c r="IUY2" s="121"/>
      <c r="IUZ2" s="121"/>
      <c r="IVA2" s="121"/>
      <c r="IVB2" s="121"/>
      <c r="IVC2" s="121"/>
      <c r="IVD2" s="121"/>
      <c r="IVE2" s="121"/>
      <c r="IVF2" s="121"/>
      <c r="IVG2" s="121"/>
      <c r="IVH2" s="121"/>
      <c r="IVI2" s="121"/>
      <c r="IVJ2" s="121"/>
      <c r="IVK2" s="121"/>
      <c r="IVL2" s="121"/>
      <c r="IVM2" s="121"/>
      <c r="IVN2" s="121"/>
      <c r="IVO2" s="121"/>
      <c r="IVP2" s="121"/>
      <c r="IVQ2" s="121"/>
      <c r="IVR2" s="121"/>
      <c r="IVS2" s="121"/>
      <c r="IVT2" s="121"/>
      <c r="IVU2" s="121"/>
      <c r="IVV2" s="121"/>
      <c r="IVW2" s="121"/>
      <c r="IVX2" s="121"/>
      <c r="IVY2" s="121"/>
      <c r="IVZ2" s="121"/>
      <c r="IWA2" s="121"/>
      <c r="IWB2" s="121"/>
      <c r="IWC2" s="121"/>
      <c r="IWD2" s="121"/>
      <c r="IWE2" s="121"/>
      <c r="IWF2" s="121"/>
      <c r="IWG2" s="121"/>
      <c r="IWH2" s="121"/>
      <c r="IWI2" s="121"/>
      <c r="IWJ2" s="121"/>
      <c r="IWK2" s="121"/>
      <c r="IWL2" s="121"/>
      <c r="IWM2" s="121"/>
      <c r="IWN2" s="121"/>
      <c r="IWO2" s="121"/>
      <c r="IWP2" s="121"/>
      <c r="IWQ2" s="121"/>
      <c r="IWR2" s="121"/>
      <c r="IWS2" s="121"/>
      <c r="IWT2" s="121"/>
      <c r="IWU2" s="121"/>
      <c r="IWV2" s="121"/>
      <c r="IWW2" s="121"/>
      <c r="IWX2" s="121"/>
      <c r="IWY2" s="121"/>
      <c r="IWZ2" s="121"/>
      <c r="IXA2" s="121"/>
      <c r="IXB2" s="121"/>
      <c r="IXC2" s="121"/>
      <c r="IXD2" s="121"/>
      <c r="IXE2" s="121"/>
      <c r="IXF2" s="121"/>
      <c r="IXG2" s="121"/>
      <c r="IXH2" s="121"/>
      <c r="IXI2" s="121"/>
      <c r="IXJ2" s="121"/>
      <c r="IXK2" s="121"/>
      <c r="IXL2" s="121"/>
      <c r="IXM2" s="121"/>
      <c r="IXN2" s="121"/>
      <c r="IXO2" s="121"/>
      <c r="IXP2" s="121"/>
      <c r="IXQ2" s="121"/>
      <c r="IXR2" s="121"/>
      <c r="IXS2" s="121"/>
      <c r="IXT2" s="121"/>
      <c r="IXU2" s="121"/>
      <c r="IXV2" s="121"/>
      <c r="IXW2" s="121"/>
      <c r="IXX2" s="121"/>
      <c r="IXY2" s="121"/>
      <c r="IXZ2" s="121"/>
      <c r="IYA2" s="121"/>
      <c r="IYB2" s="121"/>
      <c r="IYC2" s="121"/>
      <c r="IYD2" s="121"/>
      <c r="IYE2" s="121"/>
      <c r="IYF2" s="121"/>
      <c r="IYG2" s="121"/>
      <c r="IYH2" s="121"/>
      <c r="IYI2" s="121"/>
      <c r="IYJ2" s="121"/>
      <c r="IYK2" s="121"/>
      <c r="IYL2" s="121"/>
      <c r="IYM2" s="121"/>
      <c r="IYN2" s="121"/>
      <c r="IYO2" s="121"/>
      <c r="IYP2" s="121"/>
      <c r="IYQ2" s="121"/>
      <c r="IYR2" s="121"/>
      <c r="IYS2" s="121"/>
      <c r="IYT2" s="121"/>
      <c r="IYU2" s="121"/>
      <c r="IYV2" s="121"/>
      <c r="IYW2" s="121"/>
      <c r="IYX2" s="121"/>
      <c r="IYY2" s="121"/>
      <c r="IYZ2" s="121"/>
      <c r="IZA2" s="121"/>
      <c r="IZB2" s="121"/>
      <c r="IZC2" s="121"/>
      <c r="IZD2" s="121"/>
      <c r="IZE2" s="121"/>
      <c r="IZF2" s="121"/>
      <c r="IZG2" s="121"/>
      <c r="IZH2" s="121"/>
      <c r="IZI2" s="121"/>
      <c r="IZJ2" s="121"/>
      <c r="IZK2" s="121"/>
      <c r="IZL2" s="121"/>
      <c r="IZM2" s="121"/>
      <c r="IZN2" s="121"/>
      <c r="IZO2" s="121"/>
      <c r="IZP2" s="121"/>
      <c r="IZQ2" s="121"/>
      <c r="IZR2" s="121"/>
      <c r="IZS2" s="121"/>
      <c r="IZT2" s="121"/>
      <c r="IZU2" s="121"/>
      <c r="IZV2" s="121"/>
      <c r="IZW2" s="121"/>
      <c r="IZX2" s="121"/>
      <c r="IZY2" s="121"/>
      <c r="IZZ2" s="121"/>
      <c r="JAA2" s="121"/>
      <c r="JAB2" s="121"/>
      <c r="JAC2" s="121"/>
      <c r="JAD2" s="121"/>
      <c r="JAE2" s="121"/>
      <c r="JAF2" s="121"/>
      <c r="JAG2" s="121"/>
      <c r="JAH2" s="121"/>
      <c r="JAI2" s="121"/>
      <c r="JAJ2" s="121"/>
      <c r="JAK2" s="121"/>
      <c r="JAL2" s="121"/>
      <c r="JAM2" s="121"/>
      <c r="JAN2" s="121"/>
      <c r="JAO2" s="121"/>
      <c r="JAP2" s="121"/>
      <c r="JAQ2" s="121"/>
      <c r="JAR2" s="121"/>
      <c r="JAS2" s="121"/>
      <c r="JAT2" s="121"/>
      <c r="JAU2" s="121"/>
      <c r="JAV2" s="121"/>
      <c r="JAW2" s="121"/>
      <c r="JAX2" s="121"/>
      <c r="JAY2" s="121"/>
      <c r="JAZ2" s="121"/>
      <c r="JBA2" s="121"/>
      <c r="JBB2" s="121"/>
      <c r="JBC2" s="121"/>
      <c r="JBD2" s="121"/>
      <c r="JBE2" s="121"/>
      <c r="JBF2" s="121"/>
      <c r="JBG2" s="121"/>
      <c r="JBH2" s="121"/>
      <c r="JBI2" s="121"/>
      <c r="JBJ2" s="121"/>
      <c r="JBK2" s="121"/>
      <c r="JBL2" s="121"/>
      <c r="JBM2" s="121"/>
      <c r="JBN2" s="121"/>
      <c r="JBO2" s="121"/>
      <c r="JBP2" s="121"/>
      <c r="JBQ2" s="121"/>
      <c r="JBR2" s="121"/>
      <c r="JBS2" s="121"/>
      <c r="JBT2" s="121"/>
      <c r="JBU2" s="121"/>
      <c r="JBV2" s="121"/>
      <c r="JBW2" s="121"/>
      <c r="JBX2" s="121"/>
      <c r="JBY2" s="121"/>
      <c r="JBZ2" s="121"/>
      <c r="JCA2" s="121"/>
      <c r="JCB2" s="121"/>
      <c r="JCC2" s="121"/>
      <c r="JCD2" s="121"/>
      <c r="JCE2" s="121"/>
      <c r="JCF2" s="121"/>
      <c r="JCG2" s="121"/>
      <c r="JCH2" s="121"/>
      <c r="JCI2" s="121"/>
      <c r="JCJ2" s="121"/>
      <c r="JCK2" s="121"/>
      <c r="JCL2" s="121"/>
      <c r="JCM2" s="121"/>
      <c r="JCN2" s="121"/>
      <c r="JCO2" s="121"/>
      <c r="JCP2" s="121"/>
      <c r="JCQ2" s="121"/>
      <c r="JCR2" s="121"/>
      <c r="JCS2" s="121"/>
      <c r="JCT2" s="121"/>
      <c r="JCU2" s="121"/>
      <c r="JCV2" s="121"/>
      <c r="JCW2" s="121"/>
      <c r="JCX2" s="121"/>
      <c r="JCY2" s="121"/>
      <c r="JCZ2" s="121"/>
      <c r="JDA2" s="121"/>
      <c r="JDB2" s="121"/>
      <c r="JDC2" s="121"/>
      <c r="JDD2" s="121"/>
      <c r="JDE2" s="121"/>
      <c r="JDF2" s="121"/>
      <c r="JDG2" s="121"/>
      <c r="JDH2" s="121"/>
      <c r="JDI2" s="121"/>
      <c r="JDJ2" s="121"/>
      <c r="JDK2" s="121"/>
      <c r="JDL2" s="121"/>
      <c r="JDM2" s="121"/>
      <c r="JDN2" s="121"/>
      <c r="JDO2" s="121"/>
      <c r="JDP2" s="121"/>
      <c r="JDQ2" s="121"/>
      <c r="JDR2" s="121"/>
      <c r="JDS2" s="121"/>
      <c r="JDT2" s="121"/>
      <c r="JDU2" s="121"/>
      <c r="JDV2" s="121"/>
      <c r="JDW2" s="121"/>
      <c r="JDX2" s="121"/>
      <c r="JDY2" s="121"/>
      <c r="JDZ2" s="121"/>
      <c r="JEA2" s="121"/>
      <c r="JEB2" s="121"/>
      <c r="JEC2" s="121"/>
      <c r="JED2" s="121"/>
      <c r="JEE2" s="121"/>
      <c r="JEF2" s="121"/>
      <c r="JEG2" s="121"/>
      <c r="JEH2" s="121"/>
      <c r="JEI2" s="121"/>
      <c r="JEJ2" s="121"/>
      <c r="JEK2" s="121"/>
      <c r="JEL2" s="121"/>
      <c r="JEM2" s="121"/>
      <c r="JEN2" s="121"/>
      <c r="JEO2" s="121"/>
      <c r="JEP2" s="121"/>
      <c r="JEQ2" s="121"/>
      <c r="JER2" s="121"/>
      <c r="JES2" s="121"/>
      <c r="JET2" s="121"/>
      <c r="JEU2" s="121"/>
      <c r="JEV2" s="121"/>
      <c r="JEW2" s="121"/>
      <c r="JEX2" s="121"/>
      <c r="JEY2" s="121"/>
      <c r="JEZ2" s="121"/>
      <c r="JFA2" s="121"/>
      <c r="JFB2" s="121"/>
      <c r="JFC2" s="121"/>
      <c r="JFD2" s="121"/>
      <c r="JFE2" s="121"/>
      <c r="JFF2" s="121"/>
      <c r="JFG2" s="121"/>
      <c r="JFH2" s="121"/>
      <c r="JFI2" s="121"/>
      <c r="JFJ2" s="121"/>
      <c r="JFK2" s="121"/>
      <c r="JFL2" s="121"/>
      <c r="JFM2" s="121"/>
      <c r="JFN2" s="121"/>
      <c r="JFO2" s="121"/>
      <c r="JFP2" s="121"/>
      <c r="JFQ2" s="121"/>
      <c r="JFR2" s="121"/>
      <c r="JFS2" s="121"/>
      <c r="JFT2" s="121"/>
      <c r="JFU2" s="121"/>
      <c r="JFV2" s="121"/>
      <c r="JFW2" s="121"/>
      <c r="JFX2" s="121"/>
      <c r="JFY2" s="121"/>
      <c r="JFZ2" s="121"/>
      <c r="JGA2" s="121"/>
      <c r="JGB2" s="121"/>
      <c r="JGC2" s="121"/>
      <c r="JGD2" s="121"/>
      <c r="JGE2" s="121"/>
      <c r="JGF2" s="121"/>
      <c r="JGG2" s="121"/>
      <c r="JGH2" s="121"/>
      <c r="JGI2" s="121"/>
      <c r="JGJ2" s="121"/>
      <c r="JGK2" s="121"/>
      <c r="JGL2" s="121"/>
      <c r="JGM2" s="121"/>
      <c r="JGN2" s="121"/>
      <c r="JGO2" s="121"/>
      <c r="JGP2" s="121"/>
      <c r="JGQ2" s="121"/>
      <c r="JGR2" s="121"/>
      <c r="JGS2" s="121"/>
      <c r="JGT2" s="121"/>
      <c r="JGU2" s="121"/>
      <c r="JGV2" s="121"/>
      <c r="JGW2" s="121"/>
      <c r="JGX2" s="121"/>
      <c r="JGY2" s="121"/>
      <c r="JGZ2" s="121"/>
      <c r="JHA2" s="121"/>
      <c r="JHB2" s="121"/>
      <c r="JHC2" s="121"/>
      <c r="JHD2" s="121"/>
      <c r="JHE2" s="121"/>
      <c r="JHF2" s="121"/>
      <c r="JHG2" s="121"/>
      <c r="JHH2" s="121"/>
      <c r="JHI2" s="121"/>
      <c r="JHJ2" s="121"/>
      <c r="JHK2" s="121"/>
      <c r="JHL2" s="121"/>
      <c r="JHM2" s="121"/>
      <c r="JHN2" s="121"/>
      <c r="JHO2" s="121"/>
      <c r="JHP2" s="121"/>
      <c r="JHQ2" s="121"/>
      <c r="JHR2" s="121"/>
      <c r="JHS2" s="121"/>
      <c r="JHT2" s="121"/>
      <c r="JHU2" s="121"/>
      <c r="JHV2" s="121"/>
      <c r="JHW2" s="121"/>
      <c r="JHX2" s="121"/>
      <c r="JHY2" s="121"/>
      <c r="JHZ2" s="121"/>
      <c r="JIA2" s="121"/>
      <c r="JIB2" s="121"/>
      <c r="JIC2" s="121"/>
      <c r="JID2" s="121"/>
      <c r="JIE2" s="121"/>
      <c r="JIF2" s="121"/>
      <c r="JIG2" s="121"/>
      <c r="JIH2" s="121"/>
      <c r="JII2" s="121"/>
      <c r="JIJ2" s="121"/>
      <c r="JIK2" s="121"/>
      <c r="JIL2" s="121"/>
      <c r="JIM2" s="121"/>
      <c r="JIN2" s="121"/>
      <c r="JIO2" s="121"/>
      <c r="JIP2" s="121"/>
      <c r="JIQ2" s="121"/>
      <c r="JIR2" s="121"/>
      <c r="JIS2" s="121"/>
      <c r="JIT2" s="121"/>
      <c r="JIU2" s="121"/>
      <c r="JIV2" s="121"/>
      <c r="JIW2" s="121"/>
      <c r="JIX2" s="121"/>
      <c r="JIY2" s="121"/>
      <c r="JIZ2" s="121"/>
      <c r="JJA2" s="121"/>
      <c r="JJB2" s="121"/>
      <c r="JJC2" s="121"/>
      <c r="JJD2" s="121"/>
      <c r="JJE2" s="121"/>
      <c r="JJF2" s="121"/>
      <c r="JJG2" s="121"/>
      <c r="JJH2" s="121"/>
      <c r="JJI2" s="121"/>
      <c r="JJJ2" s="121"/>
      <c r="JJK2" s="121"/>
      <c r="JJL2" s="121"/>
      <c r="JJM2" s="121"/>
      <c r="JJN2" s="121"/>
      <c r="JJO2" s="121"/>
      <c r="JJP2" s="121"/>
      <c r="JJQ2" s="121"/>
      <c r="JJR2" s="121"/>
      <c r="JJS2" s="121"/>
      <c r="JJT2" s="121"/>
      <c r="JJU2" s="121"/>
      <c r="JJV2" s="121"/>
      <c r="JJW2" s="121"/>
      <c r="JJX2" s="121"/>
      <c r="JJY2" s="121"/>
      <c r="JJZ2" s="121"/>
      <c r="JKA2" s="121"/>
      <c r="JKB2" s="121"/>
      <c r="JKC2" s="121"/>
      <c r="JKD2" s="121"/>
      <c r="JKE2" s="121"/>
      <c r="JKF2" s="121"/>
      <c r="JKG2" s="121"/>
      <c r="JKH2" s="121"/>
      <c r="JKI2" s="121"/>
      <c r="JKJ2" s="121"/>
      <c r="JKK2" s="121"/>
      <c r="JKL2" s="121"/>
      <c r="JKM2" s="121"/>
      <c r="JKN2" s="121"/>
      <c r="JKO2" s="121"/>
      <c r="JKP2" s="121"/>
      <c r="JKQ2" s="121"/>
      <c r="JKR2" s="121"/>
      <c r="JKS2" s="121"/>
      <c r="JKT2" s="121"/>
      <c r="JKU2" s="121"/>
      <c r="JKV2" s="121"/>
      <c r="JKW2" s="121"/>
      <c r="JKX2" s="121"/>
      <c r="JKY2" s="121"/>
      <c r="JKZ2" s="121"/>
      <c r="JLA2" s="121"/>
      <c r="JLB2" s="121"/>
      <c r="JLC2" s="121"/>
      <c r="JLD2" s="121"/>
      <c r="JLE2" s="121"/>
      <c r="JLF2" s="121"/>
      <c r="JLG2" s="121"/>
      <c r="JLH2" s="121"/>
      <c r="JLI2" s="121"/>
      <c r="JLJ2" s="121"/>
      <c r="JLK2" s="121"/>
      <c r="JLL2" s="121"/>
      <c r="JLM2" s="121"/>
      <c r="JLN2" s="121"/>
      <c r="JLO2" s="121"/>
      <c r="JLP2" s="121"/>
      <c r="JLQ2" s="121"/>
      <c r="JLR2" s="121"/>
      <c r="JLS2" s="121"/>
      <c r="JLT2" s="121"/>
      <c r="JLU2" s="121"/>
      <c r="JLV2" s="121"/>
      <c r="JLW2" s="121"/>
      <c r="JLX2" s="121"/>
      <c r="JLY2" s="121"/>
      <c r="JLZ2" s="121"/>
      <c r="JMA2" s="121"/>
      <c r="JMB2" s="121"/>
      <c r="JMC2" s="121"/>
      <c r="JMD2" s="121"/>
      <c r="JME2" s="121"/>
      <c r="JMF2" s="121"/>
      <c r="JMG2" s="121"/>
      <c r="JMH2" s="121"/>
      <c r="JMI2" s="121"/>
      <c r="JMJ2" s="121"/>
      <c r="JMK2" s="121"/>
      <c r="JML2" s="121"/>
      <c r="JMM2" s="121"/>
      <c r="JMN2" s="121"/>
      <c r="JMO2" s="121"/>
      <c r="JMP2" s="121"/>
      <c r="JMQ2" s="121"/>
      <c r="JMR2" s="121"/>
      <c r="JMS2" s="121"/>
      <c r="JMT2" s="121"/>
      <c r="JMU2" s="121"/>
      <c r="JMV2" s="121"/>
      <c r="JMW2" s="121"/>
      <c r="JMX2" s="121"/>
      <c r="JMY2" s="121"/>
      <c r="JMZ2" s="121"/>
      <c r="JNA2" s="121"/>
      <c r="JNB2" s="121"/>
      <c r="JNC2" s="121"/>
      <c r="JND2" s="121"/>
      <c r="JNE2" s="121"/>
      <c r="JNF2" s="121"/>
      <c r="JNG2" s="121"/>
      <c r="JNH2" s="121"/>
      <c r="JNI2" s="121"/>
      <c r="JNJ2" s="121"/>
      <c r="JNK2" s="121"/>
      <c r="JNL2" s="121"/>
      <c r="JNM2" s="121"/>
      <c r="JNN2" s="121"/>
      <c r="JNO2" s="121"/>
      <c r="JNP2" s="121"/>
      <c r="JNQ2" s="121"/>
      <c r="JNR2" s="121"/>
      <c r="JNS2" s="121"/>
      <c r="JNT2" s="121"/>
      <c r="JNU2" s="121"/>
      <c r="JNV2" s="121"/>
      <c r="JNW2" s="121"/>
      <c r="JNX2" s="121"/>
      <c r="JNY2" s="121"/>
      <c r="JNZ2" s="121"/>
      <c r="JOA2" s="121"/>
      <c r="JOB2" s="121"/>
      <c r="JOC2" s="121"/>
      <c r="JOD2" s="121"/>
      <c r="JOE2" s="121"/>
      <c r="JOF2" s="121"/>
      <c r="JOG2" s="121"/>
      <c r="JOH2" s="121"/>
      <c r="JOI2" s="121"/>
      <c r="JOJ2" s="121"/>
      <c r="JOK2" s="121"/>
      <c r="JOL2" s="121"/>
      <c r="JOM2" s="121"/>
      <c r="JON2" s="121"/>
      <c r="JOO2" s="121"/>
      <c r="JOP2" s="121"/>
      <c r="JOQ2" s="121"/>
      <c r="JOR2" s="121"/>
      <c r="JOS2" s="121"/>
      <c r="JOT2" s="121"/>
      <c r="JOU2" s="121"/>
      <c r="JOV2" s="121"/>
      <c r="JOW2" s="121"/>
      <c r="JOX2" s="121"/>
      <c r="JOY2" s="121"/>
      <c r="JOZ2" s="121"/>
      <c r="JPA2" s="121"/>
      <c r="JPB2" s="121"/>
      <c r="JPC2" s="121"/>
      <c r="JPD2" s="121"/>
      <c r="JPE2" s="121"/>
      <c r="JPF2" s="121"/>
      <c r="JPG2" s="121"/>
      <c r="JPH2" s="121"/>
      <c r="JPI2" s="121"/>
      <c r="JPJ2" s="121"/>
      <c r="JPK2" s="121"/>
      <c r="JPL2" s="121"/>
      <c r="JPM2" s="121"/>
      <c r="JPN2" s="121"/>
      <c r="JPO2" s="121"/>
      <c r="JPP2" s="121"/>
      <c r="JPQ2" s="121"/>
      <c r="JPR2" s="121"/>
      <c r="JPS2" s="121"/>
      <c r="JPT2" s="121"/>
      <c r="JPU2" s="121"/>
      <c r="JPV2" s="121"/>
      <c r="JPW2" s="121"/>
      <c r="JPX2" s="121"/>
      <c r="JPY2" s="121"/>
      <c r="JPZ2" s="121"/>
      <c r="JQA2" s="121"/>
      <c r="JQB2" s="121"/>
      <c r="JQC2" s="121"/>
      <c r="JQD2" s="121"/>
      <c r="JQE2" s="121"/>
      <c r="JQF2" s="121"/>
      <c r="JQG2" s="121"/>
      <c r="JQH2" s="121"/>
      <c r="JQI2" s="121"/>
      <c r="JQJ2" s="121"/>
      <c r="JQK2" s="121"/>
      <c r="JQL2" s="121"/>
      <c r="JQM2" s="121"/>
      <c r="JQN2" s="121"/>
      <c r="JQO2" s="121"/>
      <c r="JQP2" s="121"/>
      <c r="JQQ2" s="121"/>
      <c r="JQR2" s="121"/>
      <c r="JQS2" s="121"/>
      <c r="JQT2" s="121"/>
      <c r="JQU2" s="121"/>
      <c r="JQV2" s="121"/>
      <c r="JQW2" s="121"/>
      <c r="JQX2" s="121"/>
      <c r="JQY2" s="121"/>
      <c r="JQZ2" s="121"/>
      <c r="JRA2" s="121"/>
      <c r="JRB2" s="121"/>
      <c r="JRC2" s="121"/>
      <c r="JRD2" s="121"/>
      <c r="JRE2" s="121"/>
      <c r="JRF2" s="121"/>
      <c r="JRG2" s="121"/>
      <c r="JRH2" s="121"/>
      <c r="JRI2" s="121"/>
      <c r="JRJ2" s="121"/>
      <c r="JRK2" s="121"/>
      <c r="JRL2" s="121"/>
      <c r="JRM2" s="121"/>
      <c r="JRN2" s="121"/>
      <c r="JRO2" s="121"/>
      <c r="JRP2" s="121"/>
      <c r="JRQ2" s="121"/>
      <c r="JRR2" s="121"/>
      <c r="JRS2" s="121"/>
      <c r="JRT2" s="121"/>
      <c r="JRU2" s="121"/>
      <c r="JRV2" s="121"/>
      <c r="JRW2" s="121"/>
      <c r="JRX2" s="121"/>
      <c r="JRY2" s="121"/>
      <c r="JRZ2" s="121"/>
      <c r="JSA2" s="121"/>
      <c r="JSB2" s="121"/>
      <c r="JSC2" s="121"/>
      <c r="JSD2" s="121"/>
      <c r="JSE2" s="121"/>
      <c r="JSF2" s="121"/>
      <c r="JSG2" s="121"/>
      <c r="JSH2" s="121"/>
      <c r="JSI2" s="121"/>
      <c r="JSJ2" s="121"/>
      <c r="JSK2" s="121"/>
      <c r="JSL2" s="121"/>
      <c r="JSM2" s="121"/>
      <c r="JSN2" s="121"/>
      <c r="JSO2" s="121"/>
      <c r="JSP2" s="121"/>
      <c r="JSQ2" s="121"/>
      <c r="JSR2" s="121"/>
      <c r="JSS2" s="121"/>
      <c r="JST2" s="121"/>
      <c r="JSU2" s="121"/>
      <c r="JSV2" s="121"/>
      <c r="JSW2" s="121"/>
      <c r="JSX2" s="121"/>
      <c r="JSY2" s="121"/>
      <c r="JSZ2" s="121"/>
      <c r="JTA2" s="121"/>
      <c r="JTB2" s="121"/>
      <c r="JTC2" s="121"/>
      <c r="JTD2" s="121"/>
      <c r="JTE2" s="121"/>
      <c r="JTF2" s="121"/>
      <c r="JTG2" s="121"/>
      <c r="JTH2" s="121"/>
      <c r="JTI2" s="121"/>
      <c r="JTJ2" s="121"/>
      <c r="JTK2" s="121"/>
      <c r="JTL2" s="121"/>
      <c r="JTM2" s="121"/>
      <c r="JTN2" s="121"/>
      <c r="JTO2" s="121"/>
      <c r="JTP2" s="121"/>
      <c r="JTQ2" s="121"/>
      <c r="JTR2" s="121"/>
      <c r="JTS2" s="121"/>
      <c r="JTT2" s="121"/>
      <c r="JTU2" s="121"/>
      <c r="JTV2" s="121"/>
      <c r="JTW2" s="121"/>
      <c r="JTX2" s="121"/>
      <c r="JTY2" s="121"/>
      <c r="JTZ2" s="121"/>
      <c r="JUA2" s="121"/>
      <c r="JUB2" s="121"/>
      <c r="JUC2" s="121"/>
      <c r="JUD2" s="121"/>
      <c r="JUE2" s="121"/>
      <c r="JUF2" s="121"/>
      <c r="JUG2" s="121"/>
      <c r="JUH2" s="121"/>
      <c r="JUI2" s="121"/>
      <c r="JUJ2" s="121"/>
      <c r="JUK2" s="121"/>
      <c r="JUL2" s="121"/>
      <c r="JUM2" s="121"/>
      <c r="JUN2" s="121"/>
      <c r="JUO2" s="121"/>
      <c r="JUP2" s="121"/>
      <c r="JUQ2" s="121"/>
      <c r="JUR2" s="121"/>
      <c r="JUS2" s="121"/>
      <c r="JUT2" s="121"/>
      <c r="JUU2" s="121"/>
      <c r="JUV2" s="121"/>
      <c r="JUW2" s="121"/>
      <c r="JUX2" s="121"/>
      <c r="JUY2" s="121"/>
      <c r="JUZ2" s="121"/>
      <c r="JVA2" s="121"/>
      <c r="JVB2" s="121"/>
      <c r="JVC2" s="121"/>
      <c r="JVD2" s="121"/>
      <c r="JVE2" s="121"/>
      <c r="JVF2" s="121"/>
      <c r="JVG2" s="121"/>
      <c r="JVH2" s="121"/>
      <c r="JVI2" s="121"/>
      <c r="JVJ2" s="121"/>
      <c r="JVK2" s="121"/>
      <c r="JVL2" s="121"/>
      <c r="JVM2" s="121"/>
      <c r="JVN2" s="121"/>
      <c r="JVO2" s="121"/>
      <c r="JVP2" s="121"/>
      <c r="JVQ2" s="121"/>
      <c r="JVR2" s="121"/>
      <c r="JVS2" s="121"/>
      <c r="JVT2" s="121"/>
      <c r="JVU2" s="121"/>
      <c r="JVV2" s="121"/>
      <c r="JVW2" s="121"/>
      <c r="JVX2" s="121"/>
      <c r="JVY2" s="121"/>
      <c r="JVZ2" s="121"/>
      <c r="JWA2" s="121"/>
      <c r="JWB2" s="121"/>
      <c r="JWC2" s="121"/>
      <c r="JWD2" s="121"/>
      <c r="JWE2" s="121"/>
      <c r="JWF2" s="121"/>
      <c r="JWG2" s="121"/>
      <c r="JWH2" s="121"/>
      <c r="JWI2" s="121"/>
      <c r="JWJ2" s="121"/>
      <c r="JWK2" s="121"/>
      <c r="JWL2" s="121"/>
      <c r="JWM2" s="121"/>
      <c r="JWN2" s="121"/>
      <c r="JWO2" s="121"/>
      <c r="JWP2" s="121"/>
      <c r="JWQ2" s="121"/>
      <c r="JWR2" s="121"/>
      <c r="JWS2" s="121"/>
      <c r="JWT2" s="121"/>
      <c r="JWU2" s="121"/>
      <c r="JWV2" s="121"/>
      <c r="JWW2" s="121"/>
      <c r="JWX2" s="121"/>
      <c r="JWY2" s="121"/>
      <c r="JWZ2" s="121"/>
      <c r="JXA2" s="121"/>
      <c r="JXB2" s="121"/>
      <c r="JXC2" s="121"/>
      <c r="JXD2" s="121"/>
      <c r="JXE2" s="121"/>
      <c r="JXF2" s="121"/>
      <c r="JXG2" s="121"/>
      <c r="JXH2" s="121"/>
      <c r="JXI2" s="121"/>
      <c r="JXJ2" s="121"/>
      <c r="JXK2" s="121"/>
      <c r="JXL2" s="121"/>
      <c r="JXM2" s="121"/>
      <c r="JXN2" s="121"/>
      <c r="JXO2" s="121"/>
      <c r="JXP2" s="121"/>
      <c r="JXQ2" s="121"/>
      <c r="JXR2" s="121"/>
      <c r="JXS2" s="121"/>
      <c r="JXT2" s="121"/>
      <c r="JXU2" s="121"/>
      <c r="JXV2" s="121"/>
      <c r="JXW2" s="121"/>
      <c r="JXX2" s="121"/>
      <c r="JXY2" s="121"/>
      <c r="JXZ2" s="121"/>
      <c r="JYA2" s="121"/>
      <c r="JYB2" s="121"/>
      <c r="JYC2" s="121"/>
      <c r="JYD2" s="121"/>
      <c r="JYE2" s="121"/>
      <c r="JYF2" s="121"/>
      <c r="JYG2" s="121"/>
      <c r="JYH2" s="121"/>
      <c r="JYI2" s="121"/>
      <c r="JYJ2" s="121"/>
      <c r="JYK2" s="121"/>
      <c r="JYL2" s="121"/>
      <c r="JYM2" s="121"/>
      <c r="JYN2" s="121"/>
      <c r="JYO2" s="121"/>
      <c r="JYP2" s="121"/>
      <c r="JYQ2" s="121"/>
      <c r="JYR2" s="121"/>
      <c r="JYS2" s="121"/>
      <c r="JYT2" s="121"/>
      <c r="JYU2" s="121"/>
      <c r="JYV2" s="121"/>
      <c r="JYW2" s="121"/>
      <c r="JYX2" s="121"/>
      <c r="JYY2" s="121"/>
      <c r="JYZ2" s="121"/>
      <c r="JZA2" s="121"/>
      <c r="JZB2" s="121"/>
      <c r="JZC2" s="121"/>
      <c r="JZD2" s="121"/>
      <c r="JZE2" s="121"/>
      <c r="JZF2" s="121"/>
      <c r="JZG2" s="121"/>
      <c r="JZH2" s="121"/>
      <c r="JZI2" s="121"/>
      <c r="JZJ2" s="121"/>
      <c r="JZK2" s="121"/>
      <c r="JZL2" s="121"/>
      <c r="JZM2" s="121"/>
      <c r="JZN2" s="121"/>
      <c r="JZO2" s="121"/>
      <c r="JZP2" s="121"/>
      <c r="JZQ2" s="121"/>
      <c r="JZR2" s="121"/>
      <c r="JZS2" s="121"/>
      <c r="JZT2" s="121"/>
      <c r="JZU2" s="121"/>
      <c r="JZV2" s="121"/>
      <c r="JZW2" s="121"/>
      <c r="JZX2" s="121"/>
      <c r="JZY2" s="121"/>
      <c r="JZZ2" s="121"/>
      <c r="KAA2" s="121"/>
      <c r="KAB2" s="121"/>
      <c r="KAC2" s="121"/>
      <c r="KAD2" s="121"/>
      <c r="KAE2" s="121"/>
      <c r="KAF2" s="121"/>
      <c r="KAG2" s="121"/>
      <c r="KAH2" s="121"/>
      <c r="KAI2" s="121"/>
      <c r="KAJ2" s="121"/>
      <c r="KAK2" s="121"/>
      <c r="KAL2" s="121"/>
      <c r="KAM2" s="121"/>
      <c r="KAN2" s="121"/>
      <c r="KAO2" s="121"/>
      <c r="KAP2" s="121"/>
      <c r="KAQ2" s="121"/>
      <c r="KAR2" s="121"/>
      <c r="KAS2" s="121"/>
      <c r="KAT2" s="121"/>
      <c r="KAU2" s="121"/>
      <c r="KAV2" s="121"/>
      <c r="KAW2" s="121"/>
      <c r="KAX2" s="121"/>
      <c r="KAY2" s="121"/>
      <c r="KAZ2" s="121"/>
      <c r="KBA2" s="121"/>
      <c r="KBB2" s="121"/>
      <c r="KBC2" s="121"/>
      <c r="KBD2" s="121"/>
      <c r="KBE2" s="121"/>
      <c r="KBF2" s="121"/>
      <c r="KBG2" s="121"/>
      <c r="KBH2" s="121"/>
      <c r="KBI2" s="121"/>
      <c r="KBJ2" s="121"/>
      <c r="KBK2" s="121"/>
      <c r="KBL2" s="121"/>
      <c r="KBM2" s="121"/>
      <c r="KBN2" s="121"/>
      <c r="KBO2" s="121"/>
      <c r="KBP2" s="121"/>
      <c r="KBQ2" s="121"/>
      <c r="KBR2" s="121"/>
      <c r="KBS2" s="121"/>
      <c r="KBT2" s="121"/>
      <c r="KBU2" s="121"/>
      <c r="KBV2" s="121"/>
      <c r="KBW2" s="121"/>
      <c r="KBX2" s="121"/>
      <c r="KBY2" s="121"/>
      <c r="KBZ2" s="121"/>
      <c r="KCA2" s="121"/>
      <c r="KCB2" s="121"/>
      <c r="KCC2" s="121"/>
      <c r="KCD2" s="121"/>
      <c r="KCE2" s="121"/>
      <c r="KCF2" s="121"/>
      <c r="KCG2" s="121"/>
      <c r="KCH2" s="121"/>
      <c r="KCI2" s="121"/>
      <c r="KCJ2" s="121"/>
      <c r="KCK2" s="121"/>
      <c r="KCL2" s="121"/>
      <c r="KCM2" s="121"/>
      <c r="KCN2" s="121"/>
      <c r="KCO2" s="121"/>
      <c r="KCP2" s="121"/>
      <c r="KCQ2" s="121"/>
      <c r="KCR2" s="121"/>
      <c r="KCS2" s="121"/>
      <c r="KCT2" s="121"/>
      <c r="KCU2" s="121"/>
      <c r="KCV2" s="121"/>
      <c r="KCW2" s="121"/>
      <c r="KCX2" s="121"/>
      <c r="KCY2" s="121"/>
      <c r="KCZ2" s="121"/>
      <c r="KDA2" s="121"/>
      <c r="KDB2" s="121"/>
      <c r="KDC2" s="121"/>
      <c r="KDD2" s="121"/>
      <c r="KDE2" s="121"/>
      <c r="KDF2" s="121"/>
      <c r="KDG2" s="121"/>
      <c r="KDH2" s="121"/>
      <c r="KDI2" s="121"/>
      <c r="KDJ2" s="121"/>
      <c r="KDK2" s="121"/>
      <c r="KDL2" s="121"/>
      <c r="KDM2" s="121"/>
      <c r="KDN2" s="121"/>
      <c r="KDO2" s="121"/>
      <c r="KDP2" s="121"/>
      <c r="KDQ2" s="121"/>
      <c r="KDR2" s="121"/>
      <c r="KDS2" s="121"/>
      <c r="KDT2" s="121"/>
      <c r="KDU2" s="121"/>
      <c r="KDV2" s="121"/>
      <c r="KDW2" s="121"/>
      <c r="KDX2" s="121"/>
      <c r="KDY2" s="121"/>
      <c r="KDZ2" s="121"/>
      <c r="KEA2" s="121"/>
      <c r="KEB2" s="121"/>
      <c r="KEC2" s="121"/>
      <c r="KED2" s="121"/>
      <c r="KEE2" s="121"/>
      <c r="KEF2" s="121"/>
      <c r="KEG2" s="121"/>
      <c r="KEH2" s="121"/>
      <c r="KEI2" s="121"/>
      <c r="KEJ2" s="121"/>
      <c r="KEK2" s="121"/>
      <c r="KEL2" s="121"/>
      <c r="KEM2" s="121"/>
      <c r="KEN2" s="121"/>
      <c r="KEO2" s="121"/>
      <c r="KEP2" s="121"/>
      <c r="KEQ2" s="121"/>
      <c r="KER2" s="121"/>
      <c r="KES2" s="121"/>
      <c r="KET2" s="121"/>
      <c r="KEU2" s="121"/>
      <c r="KEV2" s="121"/>
      <c r="KEW2" s="121"/>
      <c r="KEX2" s="121"/>
      <c r="KEY2" s="121"/>
      <c r="KEZ2" s="121"/>
      <c r="KFA2" s="121"/>
      <c r="KFB2" s="121"/>
      <c r="KFC2" s="121"/>
      <c r="KFD2" s="121"/>
      <c r="KFE2" s="121"/>
      <c r="KFF2" s="121"/>
      <c r="KFG2" s="121"/>
      <c r="KFH2" s="121"/>
      <c r="KFI2" s="121"/>
      <c r="KFJ2" s="121"/>
      <c r="KFK2" s="121"/>
      <c r="KFL2" s="121"/>
      <c r="KFM2" s="121"/>
      <c r="KFN2" s="121"/>
      <c r="KFO2" s="121"/>
      <c r="KFP2" s="121"/>
      <c r="KFQ2" s="121"/>
      <c r="KFR2" s="121"/>
      <c r="KFS2" s="121"/>
      <c r="KFT2" s="121"/>
      <c r="KFU2" s="121"/>
      <c r="KFV2" s="121"/>
      <c r="KFW2" s="121"/>
      <c r="KFX2" s="121"/>
      <c r="KFY2" s="121"/>
      <c r="KFZ2" s="121"/>
      <c r="KGA2" s="121"/>
      <c r="KGB2" s="121"/>
      <c r="KGC2" s="121"/>
      <c r="KGD2" s="121"/>
      <c r="KGE2" s="121"/>
      <c r="KGF2" s="121"/>
      <c r="KGG2" s="121"/>
      <c r="KGH2" s="121"/>
      <c r="KGI2" s="121"/>
      <c r="KGJ2" s="121"/>
      <c r="KGK2" s="121"/>
      <c r="KGL2" s="121"/>
      <c r="KGM2" s="121"/>
      <c r="KGN2" s="121"/>
      <c r="KGO2" s="121"/>
      <c r="KGP2" s="121"/>
      <c r="KGQ2" s="121"/>
      <c r="KGR2" s="121"/>
      <c r="KGS2" s="121"/>
      <c r="KGT2" s="121"/>
      <c r="KGU2" s="121"/>
      <c r="KGV2" s="121"/>
      <c r="KGW2" s="121"/>
      <c r="KGX2" s="121"/>
      <c r="KGY2" s="121"/>
      <c r="KGZ2" s="121"/>
      <c r="KHA2" s="121"/>
      <c r="KHB2" s="121"/>
      <c r="KHC2" s="121"/>
      <c r="KHD2" s="121"/>
      <c r="KHE2" s="121"/>
      <c r="KHF2" s="121"/>
      <c r="KHG2" s="121"/>
      <c r="KHH2" s="121"/>
      <c r="KHI2" s="121"/>
      <c r="KHJ2" s="121"/>
      <c r="KHK2" s="121"/>
      <c r="KHL2" s="121"/>
      <c r="KHM2" s="121"/>
      <c r="KHN2" s="121"/>
      <c r="KHO2" s="121"/>
      <c r="KHP2" s="121"/>
      <c r="KHQ2" s="121"/>
      <c r="KHR2" s="121"/>
      <c r="KHS2" s="121"/>
      <c r="KHT2" s="121"/>
      <c r="KHU2" s="121"/>
      <c r="KHV2" s="121"/>
      <c r="KHW2" s="121"/>
      <c r="KHX2" s="121"/>
      <c r="KHY2" s="121"/>
      <c r="KHZ2" s="121"/>
      <c r="KIA2" s="121"/>
      <c r="KIB2" s="121"/>
      <c r="KIC2" s="121"/>
      <c r="KID2" s="121"/>
      <c r="KIE2" s="121"/>
      <c r="KIF2" s="121"/>
      <c r="KIG2" s="121"/>
      <c r="KIH2" s="121"/>
      <c r="KII2" s="121"/>
      <c r="KIJ2" s="121"/>
      <c r="KIK2" s="121"/>
      <c r="KIL2" s="121"/>
      <c r="KIM2" s="121"/>
      <c r="KIN2" s="121"/>
      <c r="KIO2" s="121"/>
      <c r="KIP2" s="121"/>
      <c r="KIQ2" s="121"/>
      <c r="KIR2" s="121"/>
      <c r="KIS2" s="121"/>
      <c r="KIT2" s="121"/>
      <c r="KIU2" s="121"/>
      <c r="KIV2" s="121"/>
      <c r="KIW2" s="121"/>
      <c r="KIX2" s="121"/>
      <c r="KIY2" s="121"/>
      <c r="KIZ2" s="121"/>
      <c r="KJA2" s="121"/>
      <c r="KJB2" s="121"/>
      <c r="KJC2" s="121"/>
      <c r="KJD2" s="121"/>
      <c r="KJE2" s="121"/>
      <c r="KJF2" s="121"/>
      <c r="KJG2" s="121"/>
      <c r="KJH2" s="121"/>
      <c r="KJI2" s="121"/>
      <c r="KJJ2" s="121"/>
      <c r="KJK2" s="121"/>
      <c r="KJL2" s="121"/>
      <c r="KJM2" s="121"/>
      <c r="KJN2" s="121"/>
      <c r="KJO2" s="121"/>
      <c r="KJP2" s="121"/>
      <c r="KJQ2" s="121"/>
      <c r="KJR2" s="121"/>
      <c r="KJS2" s="121"/>
      <c r="KJT2" s="121"/>
      <c r="KJU2" s="121"/>
      <c r="KJV2" s="121"/>
      <c r="KJW2" s="121"/>
      <c r="KJX2" s="121"/>
      <c r="KJY2" s="121"/>
      <c r="KJZ2" s="121"/>
      <c r="KKA2" s="121"/>
      <c r="KKB2" s="121"/>
      <c r="KKC2" s="121"/>
      <c r="KKD2" s="121"/>
      <c r="KKE2" s="121"/>
      <c r="KKF2" s="121"/>
      <c r="KKG2" s="121"/>
      <c r="KKH2" s="121"/>
      <c r="KKI2" s="121"/>
      <c r="KKJ2" s="121"/>
      <c r="KKK2" s="121"/>
      <c r="KKL2" s="121"/>
      <c r="KKM2" s="121"/>
      <c r="KKN2" s="121"/>
      <c r="KKO2" s="121"/>
      <c r="KKP2" s="121"/>
      <c r="KKQ2" s="121"/>
      <c r="KKR2" s="121"/>
      <c r="KKS2" s="121"/>
      <c r="KKT2" s="121"/>
      <c r="KKU2" s="121"/>
      <c r="KKV2" s="121"/>
      <c r="KKW2" s="121"/>
      <c r="KKX2" s="121"/>
      <c r="KKY2" s="121"/>
      <c r="KKZ2" s="121"/>
      <c r="KLA2" s="121"/>
      <c r="KLB2" s="121"/>
      <c r="KLC2" s="121"/>
      <c r="KLD2" s="121"/>
      <c r="KLE2" s="121"/>
      <c r="KLF2" s="121"/>
      <c r="KLG2" s="121"/>
      <c r="KLH2" s="121"/>
      <c r="KLI2" s="121"/>
      <c r="KLJ2" s="121"/>
      <c r="KLK2" s="121"/>
      <c r="KLL2" s="121"/>
      <c r="KLM2" s="121"/>
      <c r="KLN2" s="121"/>
      <c r="KLO2" s="121"/>
      <c r="KLP2" s="121"/>
      <c r="KLQ2" s="121"/>
      <c r="KLR2" s="121"/>
      <c r="KLS2" s="121"/>
      <c r="KLT2" s="121"/>
      <c r="KLU2" s="121"/>
      <c r="KLV2" s="121"/>
      <c r="KLW2" s="121"/>
      <c r="KLX2" s="121"/>
      <c r="KLY2" s="121"/>
      <c r="KLZ2" s="121"/>
      <c r="KMA2" s="121"/>
      <c r="KMB2" s="121"/>
      <c r="KMC2" s="121"/>
      <c r="KMD2" s="121"/>
      <c r="KME2" s="121"/>
      <c r="KMF2" s="121"/>
      <c r="KMG2" s="121"/>
      <c r="KMH2" s="121"/>
      <c r="KMI2" s="121"/>
      <c r="KMJ2" s="121"/>
      <c r="KMK2" s="121"/>
      <c r="KML2" s="121"/>
      <c r="KMM2" s="121"/>
      <c r="KMN2" s="121"/>
      <c r="KMO2" s="121"/>
      <c r="KMP2" s="121"/>
      <c r="KMQ2" s="121"/>
      <c r="KMR2" s="121"/>
      <c r="KMS2" s="121"/>
      <c r="KMT2" s="121"/>
      <c r="KMU2" s="121"/>
      <c r="KMV2" s="121"/>
      <c r="KMW2" s="121"/>
      <c r="KMX2" s="121"/>
      <c r="KMY2" s="121"/>
      <c r="KMZ2" s="121"/>
      <c r="KNA2" s="121"/>
      <c r="KNB2" s="121"/>
      <c r="KNC2" s="121"/>
      <c r="KND2" s="121"/>
      <c r="KNE2" s="121"/>
      <c r="KNF2" s="121"/>
      <c r="KNG2" s="121"/>
      <c r="KNH2" s="121"/>
      <c r="KNI2" s="121"/>
      <c r="KNJ2" s="121"/>
      <c r="KNK2" s="121"/>
      <c r="KNL2" s="121"/>
      <c r="KNM2" s="121"/>
      <c r="KNN2" s="121"/>
      <c r="KNO2" s="121"/>
      <c r="KNP2" s="121"/>
      <c r="KNQ2" s="121"/>
      <c r="KNR2" s="121"/>
      <c r="KNS2" s="121"/>
      <c r="KNT2" s="121"/>
      <c r="KNU2" s="121"/>
      <c r="KNV2" s="121"/>
      <c r="KNW2" s="121"/>
      <c r="KNX2" s="121"/>
      <c r="KNY2" s="121"/>
      <c r="KNZ2" s="121"/>
      <c r="KOA2" s="121"/>
      <c r="KOB2" s="121"/>
      <c r="KOC2" s="121"/>
      <c r="KOD2" s="121"/>
      <c r="KOE2" s="121"/>
      <c r="KOF2" s="121"/>
      <c r="KOG2" s="121"/>
      <c r="KOH2" s="121"/>
      <c r="KOI2" s="121"/>
      <c r="KOJ2" s="121"/>
      <c r="KOK2" s="121"/>
      <c r="KOL2" s="121"/>
      <c r="KOM2" s="121"/>
      <c r="KON2" s="121"/>
      <c r="KOO2" s="121"/>
      <c r="KOP2" s="121"/>
      <c r="KOQ2" s="121"/>
      <c r="KOR2" s="121"/>
      <c r="KOS2" s="121"/>
      <c r="KOT2" s="121"/>
      <c r="KOU2" s="121"/>
      <c r="KOV2" s="121"/>
      <c r="KOW2" s="121"/>
      <c r="KOX2" s="121"/>
      <c r="KOY2" s="121"/>
      <c r="KOZ2" s="121"/>
      <c r="KPA2" s="121"/>
      <c r="KPB2" s="121"/>
      <c r="KPC2" s="121"/>
      <c r="KPD2" s="121"/>
      <c r="KPE2" s="121"/>
      <c r="KPF2" s="121"/>
      <c r="KPG2" s="121"/>
      <c r="KPH2" s="121"/>
      <c r="KPI2" s="121"/>
      <c r="KPJ2" s="121"/>
      <c r="KPK2" s="121"/>
      <c r="KPL2" s="121"/>
      <c r="KPM2" s="121"/>
      <c r="KPN2" s="121"/>
      <c r="KPO2" s="121"/>
      <c r="KPP2" s="121"/>
      <c r="KPQ2" s="121"/>
      <c r="KPR2" s="121"/>
      <c r="KPS2" s="121"/>
      <c r="KPT2" s="121"/>
      <c r="KPU2" s="121"/>
      <c r="KPV2" s="121"/>
      <c r="KPW2" s="121"/>
      <c r="KPX2" s="121"/>
      <c r="KPY2" s="121"/>
      <c r="KPZ2" s="121"/>
      <c r="KQA2" s="121"/>
      <c r="KQB2" s="121"/>
      <c r="KQC2" s="121"/>
      <c r="KQD2" s="121"/>
      <c r="KQE2" s="121"/>
      <c r="KQF2" s="121"/>
      <c r="KQG2" s="121"/>
      <c r="KQH2" s="121"/>
      <c r="KQI2" s="121"/>
      <c r="KQJ2" s="121"/>
      <c r="KQK2" s="121"/>
      <c r="KQL2" s="121"/>
      <c r="KQM2" s="121"/>
      <c r="KQN2" s="121"/>
      <c r="KQO2" s="121"/>
      <c r="KQP2" s="121"/>
      <c r="KQQ2" s="121"/>
      <c r="KQR2" s="121"/>
      <c r="KQS2" s="121"/>
      <c r="KQT2" s="121"/>
      <c r="KQU2" s="121"/>
      <c r="KQV2" s="121"/>
      <c r="KQW2" s="121"/>
      <c r="KQX2" s="121"/>
      <c r="KQY2" s="121"/>
      <c r="KQZ2" s="121"/>
      <c r="KRA2" s="121"/>
      <c r="KRB2" s="121"/>
      <c r="KRC2" s="121"/>
      <c r="KRD2" s="121"/>
      <c r="KRE2" s="121"/>
      <c r="KRF2" s="121"/>
      <c r="KRG2" s="121"/>
      <c r="KRH2" s="121"/>
      <c r="KRI2" s="121"/>
      <c r="KRJ2" s="121"/>
      <c r="KRK2" s="121"/>
      <c r="KRL2" s="121"/>
      <c r="KRM2" s="121"/>
      <c r="KRN2" s="121"/>
      <c r="KRO2" s="121"/>
      <c r="KRP2" s="121"/>
      <c r="KRQ2" s="121"/>
      <c r="KRR2" s="121"/>
      <c r="KRS2" s="121"/>
      <c r="KRT2" s="121"/>
      <c r="KRU2" s="121"/>
      <c r="KRV2" s="121"/>
      <c r="KRW2" s="121"/>
      <c r="KRX2" s="121"/>
      <c r="KRY2" s="121"/>
      <c r="KRZ2" s="121"/>
      <c r="KSA2" s="121"/>
      <c r="KSB2" s="121"/>
      <c r="KSC2" s="121"/>
      <c r="KSD2" s="121"/>
      <c r="KSE2" s="121"/>
      <c r="KSF2" s="121"/>
      <c r="KSG2" s="121"/>
      <c r="KSH2" s="121"/>
      <c r="KSI2" s="121"/>
      <c r="KSJ2" s="121"/>
      <c r="KSK2" s="121"/>
      <c r="KSL2" s="121"/>
      <c r="KSM2" s="121"/>
      <c r="KSN2" s="121"/>
      <c r="KSO2" s="121"/>
      <c r="KSP2" s="121"/>
      <c r="KSQ2" s="121"/>
      <c r="KSR2" s="121"/>
      <c r="KSS2" s="121"/>
      <c r="KST2" s="121"/>
      <c r="KSU2" s="121"/>
      <c r="KSV2" s="121"/>
      <c r="KSW2" s="121"/>
      <c r="KSX2" s="121"/>
      <c r="KSY2" s="121"/>
      <c r="KSZ2" s="121"/>
      <c r="KTA2" s="121"/>
      <c r="KTB2" s="121"/>
      <c r="KTC2" s="121"/>
      <c r="KTD2" s="121"/>
      <c r="KTE2" s="121"/>
      <c r="KTF2" s="121"/>
      <c r="KTG2" s="121"/>
      <c r="KTH2" s="121"/>
      <c r="KTI2" s="121"/>
      <c r="KTJ2" s="121"/>
      <c r="KTK2" s="121"/>
      <c r="KTL2" s="121"/>
      <c r="KTM2" s="121"/>
      <c r="KTN2" s="121"/>
      <c r="KTO2" s="121"/>
      <c r="KTP2" s="121"/>
      <c r="KTQ2" s="121"/>
      <c r="KTR2" s="121"/>
      <c r="KTS2" s="121"/>
      <c r="KTT2" s="121"/>
      <c r="KTU2" s="121"/>
      <c r="KTV2" s="121"/>
      <c r="KTW2" s="121"/>
      <c r="KTX2" s="121"/>
      <c r="KTY2" s="121"/>
      <c r="KTZ2" s="121"/>
      <c r="KUA2" s="121"/>
      <c r="KUB2" s="121"/>
      <c r="KUC2" s="121"/>
      <c r="KUD2" s="121"/>
      <c r="KUE2" s="121"/>
      <c r="KUF2" s="121"/>
      <c r="KUG2" s="121"/>
      <c r="KUH2" s="121"/>
      <c r="KUI2" s="121"/>
      <c r="KUJ2" s="121"/>
      <c r="KUK2" s="121"/>
      <c r="KUL2" s="121"/>
      <c r="KUM2" s="121"/>
      <c r="KUN2" s="121"/>
      <c r="KUO2" s="121"/>
      <c r="KUP2" s="121"/>
      <c r="KUQ2" s="121"/>
      <c r="KUR2" s="121"/>
      <c r="KUS2" s="121"/>
      <c r="KUT2" s="121"/>
      <c r="KUU2" s="121"/>
      <c r="KUV2" s="121"/>
      <c r="KUW2" s="121"/>
      <c r="KUX2" s="121"/>
      <c r="KUY2" s="121"/>
      <c r="KUZ2" s="121"/>
      <c r="KVA2" s="121"/>
      <c r="KVB2" s="121"/>
      <c r="KVC2" s="121"/>
      <c r="KVD2" s="121"/>
      <c r="KVE2" s="121"/>
      <c r="KVF2" s="121"/>
      <c r="KVG2" s="121"/>
      <c r="KVH2" s="121"/>
      <c r="KVI2" s="121"/>
      <c r="KVJ2" s="121"/>
      <c r="KVK2" s="121"/>
      <c r="KVL2" s="121"/>
      <c r="KVM2" s="121"/>
      <c r="KVN2" s="121"/>
      <c r="KVO2" s="121"/>
      <c r="KVP2" s="121"/>
      <c r="KVQ2" s="121"/>
      <c r="KVR2" s="121"/>
      <c r="KVS2" s="121"/>
      <c r="KVT2" s="121"/>
      <c r="KVU2" s="121"/>
      <c r="KVV2" s="121"/>
      <c r="KVW2" s="121"/>
      <c r="KVX2" s="121"/>
      <c r="KVY2" s="121"/>
      <c r="KVZ2" s="121"/>
      <c r="KWA2" s="121"/>
      <c r="KWB2" s="121"/>
      <c r="KWC2" s="121"/>
      <c r="KWD2" s="121"/>
      <c r="KWE2" s="121"/>
      <c r="KWF2" s="121"/>
      <c r="KWG2" s="121"/>
      <c r="KWH2" s="121"/>
      <c r="KWI2" s="121"/>
      <c r="KWJ2" s="121"/>
      <c r="KWK2" s="121"/>
      <c r="KWL2" s="121"/>
      <c r="KWM2" s="121"/>
      <c r="KWN2" s="121"/>
      <c r="KWO2" s="121"/>
      <c r="KWP2" s="121"/>
      <c r="KWQ2" s="121"/>
      <c r="KWR2" s="121"/>
      <c r="KWS2" s="121"/>
      <c r="KWT2" s="121"/>
      <c r="KWU2" s="121"/>
      <c r="KWV2" s="121"/>
      <c r="KWW2" s="121"/>
      <c r="KWX2" s="121"/>
      <c r="KWY2" s="121"/>
      <c r="KWZ2" s="121"/>
      <c r="KXA2" s="121"/>
      <c r="KXB2" s="121"/>
      <c r="KXC2" s="121"/>
      <c r="KXD2" s="121"/>
      <c r="KXE2" s="121"/>
      <c r="KXF2" s="121"/>
      <c r="KXG2" s="121"/>
      <c r="KXH2" s="121"/>
      <c r="KXI2" s="121"/>
      <c r="KXJ2" s="121"/>
      <c r="KXK2" s="121"/>
      <c r="KXL2" s="121"/>
      <c r="KXM2" s="121"/>
      <c r="KXN2" s="121"/>
      <c r="KXO2" s="121"/>
      <c r="KXP2" s="121"/>
      <c r="KXQ2" s="121"/>
      <c r="KXR2" s="121"/>
      <c r="KXS2" s="121"/>
      <c r="KXT2" s="121"/>
      <c r="KXU2" s="121"/>
      <c r="KXV2" s="121"/>
      <c r="KXW2" s="121"/>
      <c r="KXX2" s="121"/>
      <c r="KXY2" s="121"/>
      <c r="KXZ2" s="121"/>
      <c r="KYA2" s="121"/>
      <c r="KYB2" s="121"/>
      <c r="KYC2" s="121"/>
      <c r="KYD2" s="121"/>
      <c r="KYE2" s="121"/>
      <c r="KYF2" s="121"/>
      <c r="KYG2" s="121"/>
      <c r="KYH2" s="121"/>
      <c r="KYI2" s="121"/>
      <c r="KYJ2" s="121"/>
      <c r="KYK2" s="121"/>
      <c r="KYL2" s="121"/>
      <c r="KYM2" s="121"/>
      <c r="KYN2" s="121"/>
      <c r="KYO2" s="121"/>
      <c r="KYP2" s="121"/>
      <c r="KYQ2" s="121"/>
      <c r="KYR2" s="121"/>
      <c r="KYS2" s="121"/>
      <c r="KYT2" s="121"/>
      <c r="KYU2" s="121"/>
      <c r="KYV2" s="121"/>
      <c r="KYW2" s="121"/>
      <c r="KYX2" s="121"/>
      <c r="KYY2" s="121"/>
      <c r="KYZ2" s="121"/>
      <c r="KZA2" s="121"/>
      <c r="KZB2" s="121"/>
      <c r="KZC2" s="121"/>
      <c r="KZD2" s="121"/>
      <c r="KZE2" s="121"/>
      <c r="KZF2" s="121"/>
      <c r="KZG2" s="121"/>
      <c r="KZH2" s="121"/>
      <c r="KZI2" s="121"/>
      <c r="KZJ2" s="121"/>
      <c r="KZK2" s="121"/>
      <c r="KZL2" s="121"/>
      <c r="KZM2" s="121"/>
      <c r="KZN2" s="121"/>
      <c r="KZO2" s="121"/>
      <c r="KZP2" s="121"/>
      <c r="KZQ2" s="121"/>
      <c r="KZR2" s="121"/>
      <c r="KZS2" s="121"/>
      <c r="KZT2" s="121"/>
      <c r="KZU2" s="121"/>
      <c r="KZV2" s="121"/>
      <c r="KZW2" s="121"/>
      <c r="KZX2" s="121"/>
      <c r="KZY2" s="121"/>
      <c r="KZZ2" s="121"/>
      <c r="LAA2" s="121"/>
      <c r="LAB2" s="121"/>
      <c r="LAC2" s="121"/>
      <c r="LAD2" s="121"/>
      <c r="LAE2" s="121"/>
      <c r="LAF2" s="121"/>
      <c r="LAG2" s="121"/>
      <c r="LAH2" s="121"/>
      <c r="LAI2" s="121"/>
      <c r="LAJ2" s="121"/>
      <c r="LAK2" s="121"/>
      <c r="LAL2" s="121"/>
      <c r="LAM2" s="121"/>
      <c r="LAN2" s="121"/>
      <c r="LAO2" s="121"/>
      <c r="LAP2" s="121"/>
      <c r="LAQ2" s="121"/>
      <c r="LAR2" s="121"/>
      <c r="LAS2" s="121"/>
      <c r="LAT2" s="121"/>
      <c r="LAU2" s="121"/>
      <c r="LAV2" s="121"/>
      <c r="LAW2" s="121"/>
      <c r="LAX2" s="121"/>
      <c r="LAY2" s="121"/>
      <c r="LAZ2" s="121"/>
      <c r="LBA2" s="121"/>
      <c r="LBB2" s="121"/>
      <c r="LBC2" s="121"/>
      <c r="LBD2" s="121"/>
      <c r="LBE2" s="121"/>
      <c r="LBF2" s="121"/>
      <c r="LBG2" s="121"/>
      <c r="LBH2" s="121"/>
      <c r="LBI2" s="121"/>
      <c r="LBJ2" s="121"/>
      <c r="LBK2" s="121"/>
      <c r="LBL2" s="121"/>
      <c r="LBM2" s="121"/>
      <c r="LBN2" s="121"/>
      <c r="LBO2" s="121"/>
      <c r="LBP2" s="121"/>
      <c r="LBQ2" s="121"/>
      <c r="LBR2" s="121"/>
      <c r="LBS2" s="121"/>
      <c r="LBT2" s="121"/>
      <c r="LBU2" s="121"/>
      <c r="LBV2" s="121"/>
      <c r="LBW2" s="121"/>
      <c r="LBX2" s="121"/>
      <c r="LBY2" s="121"/>
      <c r="LBZ2" s="121"/>
      <c r="LCA2" s="121"/>
      <c r="LCB2" s="121"/>
      <c r="LCC2" s="121"/>
      <c r="LCD2" s="121"/>
      <c r="LCE2" s="121"/>
      <c r="LCF2" s="121"/>
      <c r="LCG2" s="121"/>
      <c r="LCH2" s="121"/>
      <c r="LCI2" s="121"/>
      <c r="LCJ2" s="121"/>
      <c r="LCK2" s="121"/>
      <c r="LCL2" s="121"/>
      <c r="LCM2" s="121"/>
      <c r="LCN2" s="121"/>
      <c r="LCO2" s="121"/>
      <c r="LCP2" s="121"/>
      <c r="LCQ2" s="121"/>
      <c r="LCR2" s="121"/>
      <c r="LCS2" s="121"/>
      <c r="LCT2" s="121"/>
      <c r="LCU2" s="121"/>
      <c r="LCV2" s="121"/>
      <c r="LCW2" s="121"/>
      <c r="LCX2" s="121"/>
      <c r="LCY2" s="121"/>
      <c r="LCZ2" s="121"/>
      <c r="LDA2" s="121"/>
      <c r="LDB2" s="121"/>
      <c r="LDC2" s="121"/>
      <c r="LDD2" s="121"/>
      <c r="LDE2" s="121"/>
      <c r="LDF2" s="121"/>
      <c r="LDG2" s="121"/>
      <c r="LDH2" s="121"/>
      <c r="LDI2" s="121"/>
      <c r="LDJ2" s="121"/>
      <c r="LDK2" s="121"/>
      <c r="LDL2" s="121"/>
      <c r="LDM2" s="121"/>
      <c r="LDN2" s="121"/>
      <c r="LDO2" s="121"/>
      <c r="LDP2" s="121"/>
      <c r="LDQ2" s="121"/>
      <c r="LDR2" s="121"/>
      <c r="LDS2" s="121"/>
      <c r="LDT2" s="121"/>
      <c r="LDU2" s="121"/>
      <c r="LDV2" s="121"/>
      <c r="LDW2" s="121"/>
      <c r="LDX2" s="121"/>
      <c r="LDY2" s="121"/>
      <c r="LDZ2" s="121"/>
      <c r="LEA2" s="121"/>
      <c r="LEB2" s="121"/>
      <c r="LEC2" s="121"/>
      <c r="LED2" s="121"/>
      <c r="LEE2" s="121"/>
      <c r="LEF2" s="121"/>
      <c r="LEG2" s="121"/>
      <c r="LEH2" s="121"/>
      <c r="LEI2" s="121"/>
      <c r="LEJ2" s="121"/>
      <c r="LEK2" s="121"/>
      <c r="LEL2" s="121"/>
      <c r="LEM2" s="121"/>
      <c r="LEN2" s="121"/>
      <c r="LEO2" s="121"/>
      <c r="LEP2" s="121"/>
      <c r="LEQ2" s="121"/>
      <c r="LER2" s="121"/>
      <c r="LES2" s="121"/>
      <c r="LET2" s="121"/>
      <c r="LEU2" s="121"/>
      <c r="LEV2" s="121"/>
      <c r="LEW2" s="121"/>
      <c r="LEX2" s="121"/>
      <c r="LEY2" s="121"/>
      <c r="LEZ2" s="121"/>
      <c r="LFA2" s="121"/>
      <c r="LFB2" s="121"/>
      <c r="LFC2" s="121"/>
      <c r="LFD2" s="121"/>
      <c r="LFE2" s="121"/>
      <c r="LFF2" s="121"/>
      <c r="LFG2" s="121"/>
      <c r="LFH2" s="121"/>
      <c r="LFI2" s="121"/>
      <c r="LFJ2" s="121"/>
      <c r="LFK2" s="121"/>
      <c r="LFL2" s="121"/>
      <c r="LFM2" s="121"/>
      <c r="LFN2" s="121"/>
      <c r="LFO2" s="121"/>
      <c r="LFP2" s="121"/>
      <c r="LFQ2" s="121"/>
      <c r="LFR2" s="121"/>
      <c r="LFS2" s="121"/>
      <c r="LFT2" s="121"/>
      <c r="LFU2" s="121"/>
      <c r="LFV2" s="121"/>
      <c r="LFW2" s="121"/>
      <c r="LFX2" s="121"/>
      <c r="LFY2" s="121"/>
      <c r="LFZ2" s="121"/>
      <c r="LGA2" s="121"/>
      <c r="LGB2" s="121"/>
      <c r="LGC2" s="121"/>
      <c r="LGD2" s="121"/>
      <c r="LGE2" s="121"/>
      <c r="LGF2" s="121"/>
      <c r="LGG2" s="121"/>
      <c r="LGH2" s="121"/>
      <c r="LGI2" s="121"/>
      <c r="LGJ2" s="121"/>
      <c r="LGK2" s="121"/>
      <c r="LGL2" s="121"/>
      <c r="LGM2" s="121"/>
      <c r="LGN2" s="121"/>
      <c r="LGO2" s="121"/>
      <c r="LGP2" s="121"/>
      <c r="LGQ2" s="121"/>
      <c r="LGR2" s="121"/>
      <c r="LGS2" s="121"/>
      <c r="LGT2" s="121"/>
      <c r="LGU2" s="121"/>
      <c r="LGV2" s="121"/>
      <c r="LGW2" s="121"/>
      <c r="LGX2" s="121"/>
      <c r="LGY2" s="121"/>
      <c r="LGZ2" s="121"/>
      <c r="LHA2" s="121"/>
      <c r="LHB2" s="121"/>
      <c r="LHC2" s="121"/>
      <c r="LHD2" s="121"/>
      <c r="LHE2" s="121"/>
      <c r="LHF2" s="121"/>
      <c r="LHG2" s="121"/>
      <c r="LHH2" s="121"/>
      <c r="LHI2" s="121"/>
      <c r="LHJ2" s="121"/>
      <c r="LHK2" s="121"/>
      <c r="LHL2" s="121"/>
      <c r="LHM2" s="121"/>
      <c r="LHN2" s="121"/>
      <c r="LHO2" s="121"/>
      <c r="LHP2" s="121"/>
      <c r="LHQ2" s="121"/>
      <c r="LHR2" s="121"/>
      <c r="LHS2" s="121"/>
      <c r="LHT2" s="121"/>
      <c r="LHU2" s="121"/>
      <c r="LHV2" s="121"/>
      <c r="LHW2" s="121"/>
      <c r="LHX2" s="121"/>
      <c r="LHY2" s="121"/>
      <c r="LHZ2" s="121"/>
      <c r="LIA2" s="121"/>
      <c r="LIB2" s="121"/>
      <c r="LIC2" s="121"/>
      <c r="LID2" s="121"/>
      <c r="LIE2" s="121"/>
      <c r="LIF2" s="121"/>
      <c r="LIG2" s="121"/>
      <c r="LIH2" s="121"/>
      <c r="LII2" s="121"/>
      <c r="LIJ2" s="121"/>
      <c r="LIK2" s="121"/>
      <c r="LIL2" s="121"/>
      <c r="LIM2" s="121"/>
      <c r="LIN2" s="121"/>
      <c r="LIO2" s="121"/>
      <c r="LIP2" s="121"/>
      <c r="LIQ2" s="121"/>
      <c r="LIR2" s="121"/>
      <c r="LIS2" s="121"/>
      <c r="LIT2" s="121"/>
      <c r="LIU2" s="121"/>
      <c r="LIV2" s="121"/>
      <c r="LIW2" s="121"/>
      <c r="LIX2" s="121"/>
      <c r="LIY2" s="121"/>
      <c r="LIZ2" s="121"/>
      <c r="LJA2" s="121"/>
      <c r="LJB2" s="121"/>
      <c r="LJC2" s="121"/>
      <c r="LJD2" s="121"/>
      <c r="LJE2" s="121"/>
      <c r="LJF2" s="121"/>
      <c r="LJG2" s="121"/>
      <c r="LJH2" s="121"/>
      <c r="LJI2" s="121"/>
      <c r="LJJ2" s="121"/>
      <c r="LJK2" s="121"/>
      <c r="LJL2" s="121"/>
      <c r="LJM2" s="121"/>
      <c r="LJN2" s="121"/>
      <c r="LJO2" s="121"/>
      <c r="LJP2" s="121"/>
      <c r="LJQ2" s="121"/>
      <c r="LJR2" s="121"/>
      <c r="LJS2" s="121"/>
      <c r="LJT2" s="121"/>
      <c r="LJU2" s="121"/>
      <c r="LJV2" s="121"/>
      <c r="LJW2" s="121"/>
      <c r="LJX2" s="121"/>
      <c r="LJY2" s="121"/>
      <c r="LJZ2" s="121"/>
      <c r="LKA2" s="121"/>
      <c r="LKB2" s="121"/>
      <c r="LKC2" s="121"/>
      <c r="LKD2" s="121"/>
      <c r="LKE2" s="121"/>
      <c r="LKF2" s="121"/>
      <c r="LKG2" s="121"/>
      <c r="LKH2" s="121"/>
      <c r="LKI2" s="121"/>
      <c r="LKJ2" s="121"/>
      <c r="LKK2" s="121"/>
      <c r="LKL2" s="121"/>
      <c r="LKM2" s="121"/>
      <c r="LKN2" s="121"/>
      <c r="LKO2" s="121"/>
      <c r="LKP2" s="121"/>
      <c r="LKQ2" s="121"/>
      <c r="LKR2" s="121"/>
      <c r="LKS2" s="121"/>
      <c r="LKT2" s="121"/>
      <c r="LKU2" s="121"/>
      <c r="LKV2" s="121"/>
      <c r="LKW2" s="121"/>
      <c r="LKX2" s="121"/>
      <c r="LKY2" s="121"/>
      <c r="LKZ2" s="121"/>
      <c r="LLA2" s="121"/>
      <c r="LLB2" s="121"/>
      <c r="LLC2" s="121"/>
      <c r="LLD2" s="121"/>
      <c r="LLE2" s="121"/>
      <c r="LLF2" s="121"/>
      <c r="LLG2" s="121"/>
      <c r="LLH2" s="121"/>
      <c r="LLI2" s="121"/>
      <c r="LLJ2" s="121"/>
      <c r="LLK2" s="121"/>
      <c r="LLL2" s="121"/>
      <c r="LLM2" s="121"/>
      <c r="LLN2" s="121"/>
      <c r="LLO2" s="121"/>
      <c r="LLP2" s="121"/>
      <c r="LLQ2" s="121"/>
      <c r="LLR2" s="121"/>
      <c r="LLS2" s="121"/>
      <c r="LLT2" s="121"/>
      <c r="LLU2" s="121"/>
      <c r="LLV2" s="121"/>
      <c r="LLW2" s="121"/>
      <c r="LLX2" s="121"/>
      <c r="LLY2" s="121"/>
      <c r="LLZ2" s="121"/>
      <c r="LMA2" s="121"/>
      <c r="LMB2" s="121"/>
      <c r="LMC2" s="121"/>
      <c r="LMD2" s="121"/>
      <c r="LME2" s="121"/>
      <c r="LMF2" s="121"/>
      <c r="LMG2" s="121"/>
      <c r="LMH2" s="121"/>
      <c r="LMI2" s="121"/>
      <c r="LMJ2" s="121"/>
      <c r="LMK2" s="121"/>
      <c r="LML2" s="121"/>
      <c r="LMM2" s="121"/>
      <c r="LMN2" s="121"/>
      <c r="LMO2" s="121"/>
      <c r="LMP2" s="121"/>
      <c r="LMQ2" s="121"/>
      <c r="LMR2" s="121"/>
      <c r="LMS2" s="121"/>
      <c r="LMT2" s="121"/>
      <c r="LMU2" s="121"/>
      <c r="LMV2" s="121"/>
      <c r="LMW2" s="121"/>
      <c r="LMX2" s="121"/>
      <c r="LMY2" s="121"/>
      <c r="LMZ2" s="121"/>
      <c r="LNA2" s="121"/>
      <c r="LNB2" s="121"/>
      <c r="LNC2" s="121"/>
      <c r="LND2" s="121"/>
      <c r="LNE2" s="121"/>
      <c r="LNF2" s="121"/>
      <c r="LNG2" s="121"/>
      <c r="LNH2" s="121"/>
      <c r="LNI2" s="121"/>
      <c r="LNJ2" s="121"/>
      <c r="LNK2" s="121"/>
      <c r="LNL2" s="121"/>
      <c r="LNM2" s="121"/>
      <c r="LNN2" s="121"/>
      <c r="LNO2" s="121"/>
      <c r="LNP2" s="121"/>
      <c r="LNQ2" s="121"/>
      <c r="LNR2" s="121"/>
      <c r="LNS2" s="121"/>
      <c r="LNT2" s="121"/>
      <c r="LNU2" s="121"/>
      <c r="LNV2" s="121"/>
      <c r="LNW2" s="121"/>
      <c r="LNX2" s="121"/>
      <c r="LNY2" s="121"/>
      <c r="LNZ2" s="121"/>
      <c r="LOA2" s="121"/>
      <c r="LOB2" s="121"/>
      <c r="LOC2" s="121"/>
      <c r="LOD2" s="121"/>
      <c r="LOE2" s="121"/>
      <c r="LOF2" s="121"/>
      <c r="LOG2" s="121"/>
      <c r="LOH2" s="121"/>
      <c r="LOI2" s="121"/>
      <c r="LOJ2" s="121"/>
      <c r="LOK2" s="121"/>
      <c r="LOL2" s="121"/>
      <c r="LOM2" s="121"/>
      <c r="LON2" s="121"/>
      <c r="LOO2" s="121"/>
      <c r="LOP2" s="121"/>
      <c r="LOQ2" s="121"/>
      <c r="LOR2" s="121"/>
      <c r="LOS2" s="121"/>
      <c r="LOT2" s="121"/>
      <c r="LOU2" s="121"/>
      <c r="LOV2" s="121"/>
      <c r="LOW2" s="121"/>
      <c r="LOX2" s="121"/>
      <c r="LOY2" s="121"/>
      <c r="LOZ2" s="121"/>
      <c r="LPA2" s="121"/>
      <c r="LPB2" s="121"/>
      <c r="LPC2" s="121"/>
      <c r="LPD2" s="121"/>
      <c r="LPE2" s="121"/>
      <c r="LPF2" s="121"/>
      <c r="LPG2" s="121"/>
      <c r="LPH2" s="121"/>
      <c r="LPI2" s="121"/>
      <c r="LPJ2" s="121"/>
      <c r="LPK2" s="121"/>
      <c r="LPL2" s="121"/>
      <c r="LPM2" s="121"/>
      <c r="LPN2" s="121"/>
      <c r="LPO2" s="121"/>
      <c r="LPP2" s="121"/>
      <c r="LPQ2" s="121"/>
      <c r="LPR2" s="121"/>
      <c r="LPS2" s="121"/>
      <c r="LPT2" s="121"/>
      <c r="LPU2" s="121"/>
      <c r="LPV2" s="121"/>
      <c r="LPW2" s="121"/>
      <c r="LPX2" s="121"/>
      <c r="LPY2" s="121"/>
      <c r="LPZ2" s="121"/>
      <c r="LQA2" s="121"/>
      <c r="LQB2" s="121"/>
      <c r="LQC2" s="121"/>
      <c r="LQD2" s="121"/>
      <c r="LQE2" s="121"/>
      <c r="LQF2" s="121"/>
      <c r="LQG2" s="121"/>
      <c r="LQH2" s="121"/>
      <c r="LQI2" s="121"/>
      <c r="LQJ2" s="121"/>
      <c r="LQK2" s="121"/>
      <c r="LQL2" s="121"/>
      <c r="LQM2" s="121"/>
      <c r="LQN2" s="121"/>
      <c r="LQO2" s="121"/>
      <c r="LQP2" s="121"/>
      <c r="LQQ2" s="121"/>
      <c r="LQR2" s="121"/>
      <c r="LQS2" s="121"/>
      <c r="LQT2" s="121"/>
      <c r="LQU2" s="121"/>
      <c r="LQV2" s="121"/>
      <c r="LQW2" s="121"/>
      <c r="LQX2" s="121"/>
      <c r="LQY2" s="121"/>
      <c r="LQZ2" s="121"/>
      <c r="LRA2" s="121"/>
      <c r="LRB2" s="121"/>
      <c r="LRC2" s="121"/>
      <c r="LRD2" s="121"/>
      <c r="LRE2" s="121"/>
      <c r="LRF2" s="121"/>
      <c r="LRG2" s="121"/>
      <c r="LRH2" s="121"/>
      <c r="LRI2" s="121"/>
      <c r="LRJ2" s="121"/>
      <c r="LRK2" s="121"/>
      <c r="LRL2" s="121"/>
      <c r="LRM2" s="121"/>
      <c r="LRN2" s="121"/>
      <c r="LRO2" s="121"/>
      <c r="LRP2" s="121"/>
      <c r="LRQ2" s="121"/>
      <c r="LRR2" s="121"/>
      <c r="LRS2" s="121"/>
      <c r="LRT2" s="121"/>
      <c r="LRU2" s="121"/>
      <c r="LRV2" s="121"/>
      <c r="LRW2" s="121"/>
      <c r="LRX2" s="121"/>
      <c r="LRY2" s="121"/>
      <c r="LRZ2" s="121"/>
      <c r="LSA2" s="121"/>
      <c r="LSB2" s="121"/>
      <c r="LSC2" s="121"/>
      <c r="LSD2" s="121"/>
      <c r="LSE2" s="121"/>
      <c r="LSF2" s="121"/>
      <c r="LSG2" s="121"/>
      <c r="LSH2" s="121"/>
      <c r="LSI2" s="121"/>
      <c r="LSJ2" s="121"/>
      <c r="LSK2" s="121"/>
      <c r="LSL2" s="121"/>
      <c r="LSM2" s="121"/>
      <c r="LSN2" s="121"/>
      <c r="LSO2" s="121"/>
      <c r="LSP2" s="121"/>
      <c r="LSQ2" s="121"/>
      <c r="LSR2" s="121"/>
      <c r="LSS2" s="121"/>
      <c r="LST2" s="121"/>
      <c r="LSU2" s="121"/>
      <c r="LSV2" s="121"/>
      <c r="LSW2" s="121"/>
      <c r="LSX2" s="121"/>
      <c r="LSY2" s="121"/>
      <c r="LSZ2" s="121"/>
      <c r="LTA2" s="121"/>
      <c r="LTB2" s="121"/>
      <c r="LTC2" s="121"/>
      <c r="LTD2" s="121"/>
      <c r="LTE2" s="121"/>
      <c r="LTF2" s="121"/>
      <c r="LTG2" s="121"/>
      <c r="LTH2" s="121"/>
      <c r="LTI2" s="121"/>
      <c r="LTJ2" s="121"/>
      <c r="LTK2" s="121"/>
      <c r="LTL2" s="121"/>
      <c r="LTM2" s="121"/>
      <c r="LTN2" s="121"/>
      <c r="LTO2" s="121"/>
      <c r="LTP2" s="121"/>
      <c r="LTQ2" s="121"/>
      <c r="LTR2" s="121"/>
      <c r="LTS2" s="121"/>
      <c r="LTT2" s="121"/>
      <c r="LTU2" s="121"/>
      <c r="LTV2" s="121"/>
      <c r="LTW2" s="121"/>
      <c r="LTX2" s="121"/>
      <c r="LTY2" s="121"/>
      <c r="LTZ2" s="121"/>
      <c r="LUA2" s="121"/>
      <c r="LUB2" s="121"/>
      <c r="LUC2" s="121"/>
      <c r="LUD2" s="121"/>
      <c r="LUE2" s="121"/>
      <c r="LUF2" s="121"/>
      <c r="LUG2" s="121"/>
      <c r="LUH2" s="121"/>
      <c r="LUI2" s="121"/>
      <c r="LUJ2" s="121"/>
      <c r="LUK2" s="121"/>
      <c r="LUL2" s="121"/>
      <c r="LUM2" s="121"/>
      <c r="LUN2" s="121"/>
      <c r="LUO2" s="121"/>
      <c r="LUP2" s="121"/>
      <c r="LUQ2" s="121"/>
      <c r="LUR2" s="121"/>
      <c r="LUS2" s="121"/>
      <c r="LUT2" s="121"/>
      <c r="LUU2" s="121"/>
      <c r="LUV2" s="121"/>
      <c r="LUW2" s="121"/>
      <c r="LUX2" s="121"/>
      <c r="LUY2" s="121"/>
      <c r="LUZ2" s="121"/>
      <c r="LVA2" s="121"/>
      <c r="LVB2" s="121"/>
      <c r="LVC2" s="121"/>
      <c r="LVD2" s="121"/>
      <c r="LVE2" s="121"/>
      <c r="LVF2" s="121"/>
      <c r="LVG2" s="121"/>
      <c r="LVH2" s="121"/>
      <c r="LVI2" s="121"/>
      <c r="LVJ2" s="121"/>
      <c r="LVK2" s="121"/>
      <c r="LVL2" s="121"/>
      <c r="LVM2" s="121"/>
      <c r="LVN2" s="121"/>
      <c r="LVO2" s="121"/>
      <c r="LVP2" s="121"/>
      <c r="LVQ2" s="121"/>
      <c r="LVR2" s="121"/>
      <c r="LVS2" s="121"/>
      <c r="LVT2" s="121"/>
      <c r="LVU2" s="121"/>
      <c r="LVV2" s="121"/>
      <c r="LVW2" s="121"/>
      <c r="LVX2" s="121"/>
      <c r="LVY2" s="121"/>
      <c r="LVZ2" s="121"/>
      <c r="LWA2" s="121"/>
      <c r="LWB2" s="121"/>
      <c r="LWC2" s="121"/>
      <c r="LWD2" s="121"/>
      <c r="LWE2" s="121"/>
      <c r="LWF2" s="121"/>
      <c r="LWG2" s="121"/>
      <c r="LWH2" s="121"/>
      <c r="LWI2" s="121"/>
      <c r="LWJ2" s="121"/>
      <c r="LWK2" s="121"/>
      <c r="LWL2" s="121"/>
      <c r="LWM2" s="121"/>
      <c r="LWN2" s="121"/>
      <c r="LWO2" s="121"/>
      <c r="LWP2" s="121"/>
      <c r="LWQ2" s="121"/>
      <c r="LWR2" s="121"/>
      <c r="LWS2" s="121"/>
      <c r="LWT2" s="121"/>
      <c r="LWU2" s="121"/>
      <c r="LWV2" s="121"/>
      <c r="LWW2" s="121"/>
      <c r="LWX2" s="121"/>
      <c r="LWY2" s="121"/>
      <c r="LWZ2" s="121"/>
      <c r="LXA2" s="121"/>
      <c r="LXB2" s="121"/>
      <c r="LXC2" s="121"/>
      <c r="LXD2" s="121"/>
      <c r="LXE2" s="121"/>
      <c r="LXF2" s="121"/>
      <c r="LXG2" s="121"/>
      <c r="LXH2" s="121"/>
      <c r="LXI2" s="121"/>
      <c r="LXJ2" s="121"/>
      <c r="LXK2" s="121"/>
      <c r="LXL2" s="121"/>
      <c r="LXM2" s="121"/>
      <c r="LXN2" s="121"/>
      <c r="LXO2" s="121"/>
      <c r="LXP2" s="121"/>
      <c r="LXQ2" s="121"/>
      <c r="LXR2" s="121"/>
      <c r="LXS2" s="121"/>
      <c r="LXT2" s="121"/>
      <c r="LXU2" s="121"/>
      <c r="LXV2" s="121"/>
      <c r="LXW2" s="121"/>
      <c r="LXX2" s="121"/>
      <c r="LXY2" s="121"/>
      <c r="LXZ2" s="121"/>
      <c r="LYA2" s="121"/>
      <c r="LYB2" s="121"/>
      <c r="LYC2" s="121"/>
      <c r="LYD2" s="121"/>
      <c r="LYE2" s="121"/>
      <c r="LYF2" s="121"/>
      <c r="LYG2" s="121"/>
      <c r="LYH2" s="121"/>
      <c r="LYI2" s="121"/>
      <c r="LYJ2" s="121"/>
      <c r="LYK2" s="121"/>
      <c r="LYL2" s="121"/>
      <c r="LYM2" s="121"/>
      <c r="LYN2" s="121"/>
      <c r="LYO2" s="121"/>
      <c r="LYP2" s="121"/>
      <c r="LYQ2" s="121"/>
      <c r="LYR2" s="121"/>
      <c r="LYS2" s="121"/>
      <c r="LYT2" s="121"/>
      <c r="LYU2" s="121"/>
      <c r="LYV2" s="121"/>
      <c r="LYW2" s="121"/>
      <c r="LYX2" s="121"/>
      <c r="LYY2" s="121"/>
      <c r="LYZ2" s="121"/>
      <c r="LZA2" s="121"/>
      <c r="LZB2" s="121"/>
      <c r="LZC2" s="121"/>
      <c r="LZD2" s="121"/>
      <c r="LZE2" s="121"/>
      <c r="LZF2" s="121"/>
      <c r="LZG2" s="121"/>
      <c r="LZH2" s="121"/>
      <c r="LZI2" s="121"/>
      <c r="LZJ2" s="121"/>
      <c r="LZK2" s="121"/>
      <c r="LZL2" s="121"/>
      <c r="LZM2" s="121"/>
      <c r="LZN2" s="121"/>
      <c r="LZO2" s="121"/>
      <c r="LZP2" s="121"/>
      <c r="LZQ2" s="121"/>
      <c r="LZR2" s="121"/>
      <c r="LZS2" s="121"/>
      <c r="LZT2" s="121"/>
      <c r="LZU2" s="121"/>
      <c r="LZV2" s="121"/>
      <c r="LZW2" s="121"/>
      <c r="LZX2" s="121"/>
      <c r="LZY2" s="121"/>
      <c r="LZZ2" s="121"/>
      <c r="MAA2" s="121"/>
      <c r="MAB2" s="121"/>
      <c r="MAC2" s="121"/>
      <c r="MAD2" s="121"/>
      <c r="MAE2" s="121"/>
      <c r="MAF2" s="121"/>
      <c r="MAG2" s="121"/>
      <c r="MAH2" s="121"/>
      <c r="MAI2" s="121"/>
      <c r="MAJ2" s="121"/>
      <c r="MAK2" s="121"/>
      <c r="MAL2" s="121"/>
      <c r="MAM2" s="121"/>
      <c r="MAN2" s="121"/>
      <c r="MAO2" s="121"/>
      <c r="MAP2" s="121"/>
      <c r="MAQ2" s="121"/>
      <c r="MAR2" s="121"/>
      <c r="MAS2" s="121"/>
      <c r="MAT2" s="121"/>
      <c r="MAU2" s="121"/>
      <c r="MAV2" s="121"/>
      <c r="MAW2" s="121"/>
      <c r="MAX2" s="121"/>
      <c r="MAY2" s="121"/>
      <c r="MAZ2" s="121"/>
      <c r="MBA2" s="121"/>
      <c r="MBB2" s="121"/>
      <c r="MBC2" s="121"/>
      <c r="MBD2" s="121"/>
      <c r="MBE2" s="121"/>
      <c r="MBF2" s="121"/>
      <c r="MBG2" s="121"/>
      <c r="MBH2" s="121"/>
      <c r="MBI2" s="121"/>
      <c r="MBJ2" s="121"/>
      <c r="MBK2" s="121"/>
      <c r="MBL2" s="121"/>
      <c r="MBM2" s="121"/>
      <c r="MBN2" s="121"/>
      <c r="MBO2" s="121"/>
      <c r="MBP2" s="121"/>
      <c r="MBQ2" s="121"/>
      <c r="MBR2" s="121"/>
      <c r="MBS2" s="121"/>
      <c r="MBT2" s="121"/>
      <c r="MBU2" s="121"/>
      <c r="MBV2" s="121"/>
      <c r="MBW2" s="121"/>
      <c r="MBX2" s="121"/>
      <c r="MBY2" s="121"/>
      <c r="MBZ2" s="121"/>
      <c r="MCA2" s="121"/>
      <c r="MCB2" s="121"/>
      <c r="MCC2" s="121"/>
      <c r="MCD2" s="121"/>
      <c r="MCE2" s="121"/>
      <c r="MCF2" s="121"/>
      <c r="MCG2" s="121"/>
      <c r="MCH2" s="121"/>
      <c r="MCI2" s="121"/>
      <c r="MCJ2" s="121"/>
      <c r="MCK2" s="121"/>
      <c r="MCL2" s="121"/>
      <c r="MCM2" s="121"/>
      <c r="MCN2" s="121"/>
      <c r="MCO2" s="121"/>
      <c r="MCP2" s="121"/>
      <c r="MCQ2" s="121"/>
      <c r="MCR2" s="121"/>
      <c r="MCS2" s="121"/>
      <c r="MCT2" s="121"/>
      <c r="MCU2" s="121"/>
      <c r="MCV2" s="121"/>
      <c r="MCW2" s="121"/>
      <c r="MCX2" s="121"/>
      <c r="MCY2" s="121"/>
      <c r="MCZ2" s="121"/>
      <c r="MDA2" s="121"/>
      <c r="MDB2" s="121"/>
      <c r="MDC2" s="121"/>
      <c r="MDD2" s="121"/>
      <c r="MDE2" s="121"/>
      <c r="MDF2" s="121"/>
      <c r="MDG2" s="121"/>
      <c r="MDH2" s="121"/>
      <c r="MDI2" s="121"/>
      <c r="MDJ2" s="121"/>
      <c r="MDK2" s="121"/>
      <c r="MDL2" s="121"/>
      <c r="MDM2" s="121"/>
      <c r="MDN2" s="121"/>
      <c r="MDO2" s="121"/>
      <c r="MDP2" s="121"/>
      <c r="MDQ2" s="121"/>
      <c r="MDR2" s="121"/>
      <c r="MDS2" s="121"/>
      <c r="MDT2" s="121"/>
      <c r="MDU2" s="121"/>
      <c r="MDV2" s="121"/>
      <c r="MDW2" s="121"/>
      <c r="MDX2" s="121"/>
      <c r="MDY2" s="121"/>
      <c r="MDZ2" s="121"/>
      <c r="MEA2" s="121"/>
      <c r="MEB2" s="121"/>
      <c r="MEC2" s="121"/>
      <c r="MED2" s="121"/>
      <c r="MEE2" s="121"/>
      <c r="MEF2" s="121"/>
      <c r="MEG2" s="121"/>
      <c r="MEH2" s="121"/>
      <c r="MEI2" s="121"/>
      <c r="MEJ2" s="121"/>
      <c r="MEK2" s="121"/>
      <c r="MEL2" s="121"/>
      <c r="MEM2" s="121"/>
      <c r="MEN2" s="121"/>
      <c r="MEO2" s="121"/>
      <c r="MEP2" s="121"/>
      <c r="MEQ2" s="121"/>
      <c r="MER2" s="121"/>
      <c r="MES2" s="121"/>
      <c r="MET2" s="121"/>
      <c r="MEU2" s="121"/>
      <c r="MEV2" s="121"/>
      <c r="MEW2" s="121"/>
      <c r="MEX2" s="121"/>
      <c r="MEY2" s="121"/>
      <c r="MEZ2" s="121"/>
      <c r="MFA2" s="121"/>
      <c r="MFB2" s="121"/>
      <c r="MFC2" s="121"/>
      <c r="MFD2" s="121"/>
      <c r="MFE2" s="121"/>
      <c r="MFF2" s="121"/>
      <c r="MFG2" s="121"/>
      <c r="MFH2" s="121"/>
      <c r="MFI2" s="121"/>
      <c r="MFJ2" s="121"/>
      <c r="MFK2" s="121"/>
      <c r="MFL2" s="121"/>
      <c r="MFM2" s="121"/>
      <c r="MFN2" s="121"/>
      <c r="MFO2" s="121"/>
      <c r="MFP2" s="121"/>
      <c r="MFQ2" s="121"/>
      <c r="MFR2" s="121"/>
      <c r="MFS2" s="121"/>
      <c r="MFT2" s="121"/>
      <c r="MFU2" s="121"/>
      <c r="MFV2" s="121"/>
      <c r="MFW2" s="121"/>
      <c r="MFX2" s="121"/>
      <c r="MFY2" s="121"/>
      <c r="MFZ2" s="121"/>
      <c r="MGA2" s="121"/>
      <c r="MGB2" s="121"/>
      <c r="MGC2" s="121"/>
      <c r="MGD2" s="121"/>
      <c r="MGE2" s="121"/>
      <c r="MGF2" s="121"/>
      <c r="MGG2" s="121"/>
      <c r="MGH2" s="121"/>
      <c r="MGI2" s="121"/>
      <c r="MGJ2" s="121"/>
      <c r="MGK2" s="121"/>
      <c r="MGL2" s="121"/>
      <c r="MGM2" s="121"/>
      <c r="MGN2" s="121"/>
      <c r="MGO2" s="121"/>
      <c r="MGP2" s="121"/>
      <c r="MGQ2" s="121"/>
      <c r="MGR2" s="121"/>
      <c r="MGS2" s="121"/>
      <c r="MGT2" s="121"/>
      <c r="MGU2" s="121"/>
      <c r="MGV2" s="121"/>
      <c r="MGW2" s="121"/>
      <c r="MGX2" s="121"/>
      <c r="MGY2" s="121"/>
      <c r="MGZ2" s="121"/>
      <c r="MHA2" s="121"/>
      <c r="MHB2" s="121"/>
      <c r="MHC2" s="121"/>
      <c r="MHD2" s="121"/>
      <c r="MHE2" s="121"/>
      <c r="MHF2" s="121"/>
      <c r="MHG2" s="121"/>
      <c r="MHH2" s="121"/>
      <c r="MHI2" s="121"/>
      <c r="MHJ2" s="121"/>
      <c r="MHK2" s="121"/>
      <c r="MHL2" s="121"/>
      <c r="MHM2" s="121"/>
      <c r="MHN2" s="121"/>
      <c r="MHO2" s="121"/>
      <c r="MHP2" s="121"/>
      <c r="MHQ2" s="121"/>
      <c r="MHR2" s="121"/>
      <c r="MHS2" s="121"/>
      <c r="MHT2" s="121"/>
      <c r="MHU2" s="121"/>
      <c r="MHV2" s="121"/>
      <c r="MHW2" s="121"/>
      <c r="MHX2" s="121"/>
      <c r="MHY2" s="121"/>
      <c r="MHZ2" s="121"/>
      <c r="MIA2" s="121"/>
      <c r="MIB2" s="121"/>
      <c r="MIC2" s="121"/>
      <c r="MID2" s="121"/>
      <c r="MIE2" s="121"/>
      <c r="MIF2" s="121"/>
      <c r="MIG2" s="121"/>
      <c r="MIH2" s="121"/>
      <c r="MII2" s="121"/>
      <c r="MIJ2" s="121"/>
      <c r="MIK2" s="121"/>
      <c r="MIL2" s="121"/>
      <c r="MIM2" s="121"/>
      <c r="MIN2" s="121"/>
      <c r="MIO2" s="121"/>
      <c r="MIP2" s="121"/>
      <c r="MIQ2" s="121"/>
      <c r="MIR2" s="121"/>
      <c r="MIS2" s="121"/>
      <c r="MIT2" s="121"/>
      <c r="MIU2" s="121"/>
      <c r="MIV2" s="121"/>
      <c r="MIW2" s="121"/>
      <c r="MIX2" s="121"/>
      <c r="MIY2" s="121"/>
      <c r="MIZ2" s="121"/>
      <c r="MJA2" s="121"/>
      <c r="MJB2" s="121"/>
      <c r="MJC2" s="121"/>
      <c r="MJD2" s="121"/>
      <c r="MJE2" s="121"/>
      <c r="MJF2" s="121"/>
      <c r="MJG2" s="121"/>
      <c r="MJH2" s="121"/>
      <c r="MJI2" s="121"/>
      <c r="MJJ2" s="121"/>
      <c r="MJK2" s="121"/>
      <c r="MJL2" s="121"/>
      <c r="MJM2" s="121"/>
      <c r="MJN2" s="121"/>
      <c r="MJO2" s="121"/>
      <c r="MJP2" s="121"/>
      <c r="MJQ2" s="121"/>
      <c r="MJR2" s="121"/>
      <c r="MJS2" s="121"/>
      <c r="MJT2" s="121"/>
      <c r="MJU2" s="121"/>
      <c r="MJV2" s="121"/>
      <c r="MJW2" s="121"/>
      <c r="MJX2" s="121"/>
      <c r="MJY2" s="121"/>
      <c r="MJZ2" s="121"/>
      <c r="MKA2" s="121"/>
      <c r="MKB2" s="121"/>
      <c r="MKC2" s="121"/>
      <c r="MKD2" s="121"/>
      <c r="MKE2" s="121"/>
      <c r="MKF2" s="121"/>
      <c r="MKG2" s="121"/>
      <c r="MKH2" s="121"/>
      <c r="MKI2" s="121"/>
      <c r="MKJ2" s="121"/>
      <c r="MKK2" s="121"/>
      <c r="MKL2" s="121"/>
      <c r="MKM2" s="121"/>
      <c r="MKN2" s="121"/>
      <c r="MKO2" s="121"/>
      <c r="MKP2" s="121"/>
      <c r="MKQ2" s="121"/>
      <c r="MKR2" s="121"/>
      <c r="MKS2" s="121"/>
      <c r="MKT2" s="121"/>
      <c r="MKU2" s="121"/>
      <c r="MKV2" s="121"/>
      <c r="MKW2" s="121"/>
      <c r="MKX2" s="121"/>
      <c r="MKY2" s="121"/>
      <c r="MKZ2" s="121"/>
      <c r="MLA2" s="121"/>
      <c r="MLB2" s="121"/>
      <c r="MLC2" s="121"/>
      <c r="MLD2" s="121"/>
      <c r="MLE2" s="121"/>
      <c r="MLF2" s="121"/>
      <c r="MLG2" s="121"/>
      <c r="MLH2" s="121"/>
      <c r="MLI2" s="121"/>
      <c r="MLJ2" s="121"/>
      <c r="MLK2" s="121"/>
      <c r="MLL2" s="121"/>
      <c r="MLM2" s="121"/>
      <c r="MLN2" s="121"/>
      <c r="MLO2" s="121"/>
      <c r="MLP2" s="121"/>
      <c r="MLQ2" s="121"/>
      <c r="MLR2" s="121"/>
      <c r="MLS2" s="121"/>
      <c r="MLT2" s="121"/>
      <c r="MLU2" s="121"/>
      <c r="MLV2" s="121"/>
      <c r="MLW2" s="121"/>
      <c r="MLX2" s="121"/>
      <c r="MLY2" s="121"/>
      <c r="MLZ2" s="121"/>
      <c r="MMA2" s="121"/>
      <c r="MMB2" s="121"/>
      <c r="MMC2" s="121"/>
      <c r="MMD2" s="121"/>
      <c r="MME2" s="121"/>
      <c r="MMF2" s="121"/>
      <c r="MMG2" s="121"/>
      <c r="MMH2" s="121"/>
      <c r="MMI2" s="121"/>
      <c r="MMJ2" s="121"/>
      <c r="MMK2" s="121"/>
      <c r="MML2" s="121"/>
      <c r="MMM2" s="121"/>
      <c r="MMN2" s="121"/>
      <c r="MMO2" s="121"/>
      <c r="MMP2" s="121"/>
      <c r="MMQ2" s="121"/>
      <c r="MMR2" s="121"/>
      <c r="MMS2" s="121"/>
      <c r="MMT2" s="121"/>
      <c r="MMU2" s="121"/>
      <c r="MMV2" s="121"/>
      <c r="MMW2" s="121"/>
      <c r="MMX2" s="121"/>
      <c r="MMY2" s="121"/>
      <c r="MMZ2" s="121"/>
      <c r="MNA2" s="121"/>
      <c r="MNB2" s="121"/>
      <c r="MNC2" s="121"/>
      <c r="MND2" s="121"/>
      <c r="MNE2" s="121"/>
      <c r="MNF2" s="121"/>
      <c r="MNG2" s="121"/>
      <c r="MNH2" s="121"/>
      <c r="MNI2" s="121"/>
      <c r="MNJ2" s="121"/>
      <c r="MNK2" s="121"/>
      <c r="MNL2" s="121"/>
      <c r="MNM2" s="121"/>
      <c r="MNN2" s="121"/>
      <c r="MNO2" s="121"/>
      <c r="MNP2" s="121"/>
      <c r="MNQ2" s="121"/>
      <c r="MNR2" s="121"/>
      <c r="MNS2" s="121"/>
      <c r="MNT2" s="121"/>
      <c r="MNU2" s="121"/>
      <c r="MNV2" s="121"/>
      <c r="MNW2" s="121"/>
      <c r="MNX2" s="121"/>
      <c r="MNY2" s="121"/>
      <c r="MNZ2" s="121"/>
      <c r="MOA2" s="121"/>
      <c r="MOB2" s="121"/>
      <c r="MOC2" s="121"/>
      <c r="MOD2" s="121"/>
      <c r="MOE2" s="121"/>
      <c r="MOF2" s="121"/>
      <c r="MOG2" s="121"/>
      <c r="MOH2" s="121"/>
      <c r="MOI2" s="121"/>
      <c r="MOJ2" s="121"/>
      <c r="MOK2" s="121"/>
      <c r="MOL2" s="121"/>
      <c r="MOM2" s="121"/>
      <c r="MON2" s="121"/>
      <c r="MOO2" s="121"/>
      <c r="MOP2" s="121"/>
      <c r="MOQ2" s="121"/>
      <c r="MOR2" s="121"/>
      <c r="MOS2" s="121"/>
      <c r="MOT2" s="121"/>
      <c r="MOU2" s="121"/>
      <c r="MOV2" s="121"/>
      <c r="MOW2" s="121"/>
      <c r="MOX2" s="121"/>
      <c r="MOY2" s="121"/>
      <c r="MOZ2" s="121"/>
      <c r="MPA2" s="121"/>
      <c r="MPB2" s="121"/>
      <c r="MPC2" s="121"/>
      <c r="MPD2" s="121"/>
      <c r="MPE2" s="121"/>
      <c r="MPF2" s="121"/>
      <c r="MPG2" s="121"/>
      <c r="MPH2" s="121"/>
      <c r="MPI2" s="121"/>
      <c r="MPJ2" s="121"/>
      <c r="MPK2" s="121"/>
      <c r="MPL2" s="121"/>
      <c r="MPM2" s="121"/>
      <c r="MPN2" s="121"/>
      <c r="MPO2" s="121"/>
      <c r="MPP2" s="121"/>
      <c r="MPQ2" s="121"/>
      <c r="MPR2" s="121"/>
      <c r="MPS2" s="121"/>
      <c r="MPT2" s="121"/>
      <c r="MPU2" s="121"/>
      <c r="MPV2" s="121"/>
      <c r="MPW2" s="121"/>
      <c r="MPX2" s="121"/>
      <c r="MPY2" s="121"/>
      <c r="MPZ2" s="121"/>
      <c r="MQA2" s="121"/>
      <c r="MQB2" s="121"/>
      <c r="MQC2" s="121"/>
      <c r="MQD2" s="121"/>
      <c r="MQE2" s="121"/>
      <c r="MQF2" s="121"/>
      <c r="MQG2" s="121"/>
      <c r="MQH2" s="121"/>
      <c r="MQI2" s="121"/>
      <c r="MQJ2" s="121"/>
      <c r="MQK2" s="121"/>
      <c r="MQL2" s="121"/>
      <c r="MQM2" s="121"/>
      <c r="MQN2" s="121"/>
      <c r="MQO2" s="121"/>
      <c r="MQP2" s="121"/>
      <c r="MQQ2" s="121"/>
      <c r="MQR2" s="121"/>
      <c r="MQS2" s="121"/>
      <c r="MQT2" s="121"/>
      <c r="MQU2" s="121"/>
      <c r="MQV2" s="121"/>
      <c r="MQW2" s="121"/>
      <c r="MQX2" s="121"/>
      <c r="MQY2" s="121"/>
      <c r="MQZ2" s="121"/>
      <c r="MRA2" s="121"/>
      <c r="MRB2" s="121"/>
      <c r="MRC2" s="121"/>
      <c r="MRD2" s="121"/>
      <c r="MRE2" s="121"/>
      <c r="MRF2" s="121"/>
      <c r="MRG2" s="121"/>
      <c r="MRH2" s="121"/>
      <c r="MRI2" s="121"/>
      <c r="MRJ2" s="121"/>
      <c r="MRK2" s="121"/>
      <c r="MRL2" s="121"/>
      <c r="MRM2" s="121"/>
      <c r="MRN2" s="121"/>
      <c r="MRO2" s="121"/>
      <c r="MRP2" s="121"/>
      <c r="MRQ2" s="121"/>
      <c r="MRR2" s="121"/>
      <c r="MRS2" s="121"/>
      <c r="MRT2" s="121"/>
      <c r="MRU2" s="121"/>
      <c r="MRV2" s="121"/>
      <c r="MRW2" s="121"/>
      <c r="MRX2" s="121"/>
      <c r="MRY2" s="121"/>
      <c r="MRZ2" s="121"/>
      <c r="MSA2" s="121"/>
      <c r="MSB2" s="121"/>
      <c r="MSC2" s="121"/>
      <c r="MSD2" s="121"/>
      <c r="MSE2" s="121"/>
      <c r="MSF2" s="121"/>
      <c r="MSG2" s="121"/>
      <c r="MSH2" s="121"/>
      <c r="MSI2" s="121"/>
      <c r="MSJ2" s="121"/>
      <c r="MSK2" s="121"/>
      <c r="MSL2" s="121"/>
      <c r="MSM2" s="121"/>
      <c r="MSN2" s="121"/>
      <c r="MSO2" s="121"/>
      <c r="MSP2" s="121"/>
      <c r="MSQ2" s="121"/>
      <c r="MSR2" s="121"/>
      <c r="MSS2" s="121"/>
      <c r="MST2" s="121"/>
      <c r="MSU2" s="121"/>
      <c r="MSV2" s="121"/>
      <c r="MSW2" s="121"/>
      <c r="MSX2" s="121"/>
      <c r="MSY2" s="121"/>
      <c r="MSZ2" s="121"/>
      <c r="MTA2" s="121"/>
      <c r="MTB2" s="121"/>
      <c r="MTC2" s="121"/>
      <c r="MTD2" s="121"/>
      <c r="MTE2" s="121"/>
      <c r="MTF2" s="121"/>
      <c r="MTG2" s="121"/>
      <c r="MTH2" s="121"/>
      <c r="MTI2" s="121"/>
      <c r="MTJ2" s="121"/>
      <c r="MTK2" s="121"/>
      <c r="MTL2" s="121"/>
      <c r="MTM2" s="121"/>
      <c r="MTN2" s="121"/>
      <c r="MTO2" s="121"/>
      <c r="MTP2" s="121"/>
      <c r="MTQ2" s="121"/>
      <c r="MTR2" s="121"/>
      <c r="MTS2" s="121"/>
      <c r="MTT2" s="121"/>
      <c r="MTU2" s="121"/>
      <c r="MTV2" s="121"/>
      <c r="MTW2" s="121"/>
      <c r="MTX2" s="121"/>
      <c r="MTY2" s="121"/>
      <c r="MTZ2" s="121"/>
      <c r="MUA2" s="121"/>
      <c r="MUB2" s="121"/>
      <c r="MUC2" s="121"/>
      <c r="MUD2" s="121"/>
      <c r="MUE2" s="121"/>
      <c r="MUF2" s="121"/>
      <c r="MUG2" s="121"/>
      <c r="MUH2" s="121"/>
      <c r="MUI2" s="121"/>
      <c r="MUJ2" s="121"/>
      <c r="MUK2" s="121"/>
      <c r="MUL2" s="121"/>
      <c r="MUM2" s="121"/>
      <c r="MUN2" s="121"/>
      <c r="MUO2" s="121"/>
      <c r="MUP2" s="121"/>
      <c r="MUQ2" s="121"/>
      <c r="MUR2" s="121"/>
      <c r="MUS2" s="121"/>
      <c r="MUT2" s="121"/>
      <c r="MUU2" s="121"/>
      <c r="MUV2" s="121"/>
      <c r="MUW2" s="121"/>
      <c r="MUX2" s="121"/>
      <c r="MUY2" s="121"/>
      <c r="MUZ2" s="121"/>
      <c r="MVA2" s="121"/>
      <c r="MVB2" s="121"/>
      <c r="MVC2" s="121"/>
      <c r="MVD2" s="121"/>
      <c r="MVE2" s="121"/>
      <c r="MVF2" s="121"/>
      <c r="MVG2" s="121"/>
      <c r="MVH2" s="121"/>
      <c r="MVI2" s="121"/>
      <c r="MVJ2" s="121"/>
      <c r="MVK2" s="121"/>
      <c r="MVL2" s="121"/>
      <c r="MVM2" s="121"/>
      <c r="MVN2" s="121"/>
      <c r="MVO2" s="121"/>
      <c r="MVP2" s="121"/>
      <c r="MVQ2" s="121"/>
      <c r="MVR2" s="121"/>
      <c r="MVS2" s="121"/>
      <c r="MVT2" s="121"/>
      <c r="MVU2" s="121"/>
      <c r="MVV2" s="121"/>
      <c r="MVW2" s="121"/>
      <c r="MVX2" s="121"/>
      <c r="MVY2" s="121"/>
      <c r="MVZ2" s="121"/>
      <c r="MWA2" s="121"/>
      <c r="MWB2" s="121"/>
      <c r="MWC2" s="121"/>
      <c r="MWD2" s="121"/>
      <c r="MWE2" s="121"/>
      <c r="MWF2" s="121"/>
      <c r="MWG2" s="121"/>
      <c r="MWH2" s="121"/>
      <c r="MWI2" s="121"/>
      <c r="MWJ2" s="121"/>
      <c r="MWK2" s="121"/>
      <c r="MWL2" s="121"/>
      <c r="MWM2" s="121"/>
      <c r="MWN2" s="121"/>
      <c r="MWO2" s="121"/>
      <c r="MWP2" s="121"/>
      <c r="MWQ2" s="121"/>
      <c r="MWR2" s="121"/>
      <c r="MWS2" s="121"/>
      <c r="MWT2" s="121"/>
      <c r="MWU2" s="121"/>
      <c r="MWV2" s="121"/>
      <c r="MWW2" s="121"/>
      <c r="MWX2" s="121"/>
      <c r="MWY2" s="121"/>
      <c r="MWZ2" s="121"/>
      <c r="MXA2" s="121"/>
      <c r="MXB2" s="121"/>
      <c r="MXC2" s="121"/>
      <c r="MXD2" s="121"/>
      <c r="MXE2" s="121"/>
      <c r="MXF2" s="121"/>
      <c r="MXG2" s="121"/>
      <c r="MXH2" s="121"/>
      <c r="MXI2" s="121"/>
      <c r="MXJ2" s="121"/>
      <c r="MXK2" s="121"/>
      <c r="MXL2" s="121"/>
      <c r="MXM2" s="121"/>
      <c r="MXN2" s="121"/>
      <c r="MXO2" s="121"/>
      <c r="MXP2" s="121"/>
      <c r="MXQ2" s="121"/>
      <c r="MXR2" s="121"/>
      <c r="MXS2" s="121"/>
      <c r="MXT2" s="121"/>
      <c r="MXU2" s="121"/>
      <c r="MXV2" s="121"/>
      <c r="MXW2" s="121"/>
      <c r="MXX2" s="121"/>
      <c r="MXY2" s="121"/>
      <c r="MXZ2" s="121"/>
      <c r="MYA2" s="121"/>
      <c r="MYB2" s="121"/>
      <c r="MYC2" s="121"/>
      <c r="MYD2" s="121"/>
      <c r="MYE2" s="121"/>
      <c r="MYF2" s="121"/>
      <c r="MYG2" s="121"/>
      <c r="MYH2" s="121"/>
      <c r="MYI2" s="121"/>
      <c r="MYJ2" s="121"/>
      <c r="MYK2" s="121"/>
      <c r="MYL2" s="121"/>
      <c r="MYM2" s="121"/>
      <c r="MYN2" s="121"/>
      <c r="MYO2" s="121"/>
      <c r="MYP2" s="121"/>
      <c r="MYQ2" s="121"/>
      <c r="MYR2" s="121"/>
      <c r="MYS2" s="121"/>
      <c r="MYT2" s="121"/>
      <c r="MYU2" s="121"/>
      <c r="MYV2" s="121"/>
      <c r="MYW2" s="121"/>
      <c r="MYX2" s="121"/>
      <c r="MYY2" s="121"/>
      <c r="MYZ2" s="121"/>
      <c r="MZA2" s="121"/>
      <c r="MZB2" s="121"/>
      <c r="MZC2" s="121"/>
      <c r="MZD2" s="121"/>
      <c r="MZE2" s="121"/>
      <c r="MZF2" s="121"/>
      <c r="MZG2" s="121"/>
      <c r="MZH2" s="121"/>
      <c r="MZI2" s="121"/>
      <c r="MZJ2" s="121"/>
      <c r="MZK2" s="121"/>
      <c r="MZL2" s="121"/>
      <c r="MZM2" s="121"/>
      <c r="MZN2" s="121"/>
      <c r="MZO2" s="121"/>
      <c r="MZP2" s="121"/>
      <c r="MZQ2" s="121"/>
      <c r="MZR2" s="121"/>
      <c r="MZS2" s="121"/>
      <c r="MZT2" s="121"/>
      <c r="MZU2" s="121"/>
      <c r="MZV2" s="121"/>
      <c r="MZW2" s="121"/>
      <c r="MZX2" s="121"/>
      <c r="MZY2" s="121"/>
      <c r="MZZ2" s="121"/>
      <c r="NAA2" s="121"/>
      <c r="NAB2" s="121"/>
      <c r="NAC2" s="121"/>
      <c r="NAD2" s="121"/>
      <c r="NAE2" s="121"/>
      <c r="NAF2" s="121"/>
      <c r="NAG2" s="121"/>
      <c r="NAH2" s="121"/>
      <c r="NAI2" s="121"/>
      <c r="NAJ2" s="121"/>
      <c r="NAK2" s="121"/>
      <c r="NAL2" s="121"/>
      <c r="NAM2" s="121"/>
      <c r="NAN2" s="121"/>
      <c r="NAO2" s="121"/>
      <c r="NAP2" s="121"/>
      <c r="NAQ2" s="121"/>
      <c r="NAR2" s="121"/>
      <c r="NAS2" s="121"/>
      <c r="NAT2" s="121"/>
      <c r="NAU2" s="121"/>
      <c r="NAV2" s="121"/>
      <c r="NAW2" s="121"/>
      <c r="NAX2" s="121"/>
      <c r="NAY2" s="121"/>
      <c r="NAZ2" s="121"/>
      <c r="NBA2" s="121"/>
      <c r="NBB2" s="121"/>
      <c r="NBC2" s="121"/>
      <c r="NBD2" s="121"/>
      <c r="NBE2" s="121"/>
      <c r="NBF2" s="121"/>
      <c r="NBG2" s="121"/>
      <c r="NBH2" s="121"/>
      <c r="NBI2" s="121"/>
      <c r="NBJ2" s="121"/>
      <c r="NBK2" s="121"/>
      <c r="NBL2" s="121"/>
      <c r="NBM2" s="121"/>
      <c r="NBN2" s="121"/>
      <c r="NBO2" s="121"/>
      <c r="NBP2" s="121"/>
      <c r="NBQ2" s="121"/>
      <c r="NBR2" s="121"/>
      <c r="NBS2" s="121"/>
      <c r="NBT2" s="121"/>
      <c r="NBU2" s="121"/>
      <c r="NBV2" s="121"/>
      <c r="NBW2" s="121"/>
      <c r="NBX2" s="121"/>
      <c r="NBY2" s="121"/>
      <c r="NBZ2" s="121"/>
      <c r="NCA2" s="121"/>
      <c r="NCB2" s="121"/>
      <c r="NCC2" s="121"/>
      <c r="NCD2" s="121"/>
      <c r="NCE2" s="121"/>
      <c r="NCF2" s="121"/>
      <c r="NCG2" s="121"/>
      <c r="NCH2" s="121"/>
      <c r="NCI2" s="121"/>
      <c r="NCJ2" s="121"/>
      <c r="NCK2" s="121"/>
      <c r="NCL2" s="121"/>
      <c r="NCM2" s="121"/>
      <c r="NCN2" s="121"/>
      <c r="NCO2" s="121"/>
      <c r="NCP2" s="121"/>
      <c r="NCQ2" s="121"/>
      <c r="NCR2" s="121"/>
      <c r="NCS2" s="121"/>
      <c r="NCT2" s="121"/>
      <c r="NCU2" s="121"/>
      <c r="NCV2" s="121"/>
      <c r="NCW2" s="121"/>
      <c r="NCX2" s="121"/>
      <c r="NCY2" s="121"/>
      <c r="NCZ2" s="121"/>
      <c r="NDA2" s="121"/>
      <c r="NDB2" s="121"/>
      <c r="NDC2" s="121"/>
      <c r="NDD2" s="121"/>
      <c r="NDE2" s="121"/>
      <c r="NDF2" s="121"/>
      <c r="NDG2" s="121"/>
      <c r="NDH2" s="121"/>
      <c r="NDI2" s="121"/>
      <c r="NDJ2" s="121"/>
      <c r="NDK2" s="121"/>
      <c r="NDL2" s="121"/>
      <c r="NDM2" s="121"/>
      <c r="NDN2" s="121"/>
      <c r="NDO2" s="121"/>
      <c r="NDP2" s="121"/>
      <c r="NDQ2" s="121"/>
      <c r="NDR2" s="121"/>
      <c r="NDS2" s="121"/>
      <c r="NDT2" s="121"/>
      <c r="NDU2" s="121"/>
      <c r="NDV2" s="121"/>
      <c r="NDW2" s="121"/>
      <c r="NDX2" s="121"/>
      <c r="NDY2" s="121"/>
      <c r="NDZ2" s="121"/>
      <c r="NEA2" s="121"/>
      <c r="NEB2" s="121"/>
      <c r="NEC2" s="121"/>
      <c r="NED2" s="121"/>
      <c r="NEE2" s="121"/>
      <c r="NEF2" s="121"/>
      <c r="NEG2" s="121"/>
      <c r="NEH2" s="121"/>
      <c r="NEI2" s="121"/>
      <c r="NEJ2" s="121"/>
      <c r="NEK2" s="121"/>
      <c r="NEL2" s="121"/>
      <c r="NEM2" s="121"/>
      <c r="NEN2" s="121"/>
      <c r="NEO2" s="121"/>
      <c r="NEP2" s="121"/>
      <c r="NEQ2" s="121"/>
      <c r="NER2" s="121"/>
      <c r="NES2" s="121"/>
      <c r="NET2" s="121"/>
      <c r="NEU2" s="121"/>
      <c r="NEV2" s="121"/>
      <c r="NEW2" s="121"/>
      <c r="NEX2" s="121"/>
      <c r="NEY2" s="121"/>
      <c r="NEZ2" s="121"/>
      <c r="NFA2" s="121"/>
      <c r="NFB2" s="121"/>
      <c r="NFC2" s="121"/>
      <c r="NFD2" s="121"/>
      <c r="NFE2" s="121"/>
      <c r="NFF2" s="121"/>
      <c r="NFG2" s="121"/>
      <c r="NFH2" s="121"/>
      <c r="NFI2" s="121"/>
      <c r="NFJ2" s="121"/>
      <c r="NFK2" s="121"/>
      <c r="NFL2" s="121"/>
      <c r="NFM2" s="121"/>
      <c r="NFN2" s="121"/>
      <c r="NFO2" s="121"/>
      <c r="NFP2" s="121"/>
      <c r="NFQ2" s="121"/>
      <c r="NFR2" s="121"/>
      <c r="NFS2" s="121"/>
      <c r="NFT2" s="121"/>
      <c r="NFU2" s="121"/>
      <c r="NFV2" s="121"/>
      <c r="NFW2" s="121"/>
      <c r="NFX2" s="121"/>
      <c r="NFY2" s="121"/>
      <c r="NFZ2" s="121"/>
      <c r="NGA2" s="121"/>
      <c r="NGB2" s="121"/>
      <c r="NGC2" s="121"/>
      <c r="NGD2" s="121"/>
      <c r="NGE2" s="121"/>
      <c r="NGF2" s="121"/>
      <c r="NGG2" s="121"/>
      <c r="NGH2" s="121"/>
      <c r="NGI2" s="121"/>
      <c r="NGJ2" s="121"/>
      <c r="NGK2" s="121"/>
      <c r="NGL2" s="121"/>
      <c r="NGM2" s="121"/>
      <c r="NGN2" s="121"/>
      <c r="NGO2" s="121"/>
      <c r="NGP2" s="121"/>
      <c r="NGQ2" s="121"/>
      <c r="NGR2" s="121"/>
      <c r="NGS2" s="121"/>
      <c r="NGT2" s="121"/>
      <c r="NGU2" s="121"/>
      <c r="NGV2" s="121"/>
      <c r="NGW2" s="121"/>
      <c r="NGX2" s="121"/>
      <c r="NGY2" s="121"/>
      <c r="NGZ2" s="121"/>
      <c r="NHA2" s="121"/>
      <c r="NHB2" s="121"/>
      <c r="NHC2" s="121"/>
      <c r="NHD2" s="121"/>
      <c r="NHE2" s="121"/>
      <c r="NHF2" s="121"/>
      <c r="NHG2" s="121"/>
      <c r="NHH2" s="121"/>
      <c r="NHI2" s="121"/>
      <c r="NHJ2" s="121"/>
      <c r="NHK2" s="121"/>
      <c r="NHL2" s="121"/>
      <c r="NHM2" s="121"/>
      <c r="NHN2" s="121"/>
      <c r="NHO2" s="121"/>
      <c r="NHP2" s="121"/>
      <c r="NHQ2" s="121"/>
      <c r="NHR2" s="121"/>
      <c r="NHS2" s="121"/>
      <c r="NHT2" s="121"/>
      <c r="NHU2" s="121"/>
      <c r="NHV2" s="121"/>
      <c r="NHW2" s="121"/>
      <c r="NHX2" s="121"/>
      <c r="NHY2" s="121"/>
      <c r="NHZ2" s="121"/>
      <c r="NIA2" s="121"/>
      <c r="NIB2" s="121"/>
      <c r="NIC2" s="121"/>
      <c r="NID2" s="121"/>
      <c r="NIE2" s="121"/>
      <c r="NIF2" s="121"/>
      <c r="NIG2" s="121"/>
      <c r="NIH2" s="121"/>
      <c r="NII2" s="121"/>
      <c r="NIJ2" s="121"/>
      <c r="NIK2" s="121"/>
      <c r="NIL2" s="121"/>
      <c r="NIM2" s="121"/>
      <c r="NIN2" s="121"/>
      <c r="NIO2" s="121"/>
      <c r="NIP2" s="121"/>
      <c r="NIQ2" s="121"/>
      <c r="NIR2" s="121"/>
      <c r="NIS2" s="121"/>
      <c r="NIT2" s="121"/>
      <c r="NIU2" s="121"/>
      <c r="NIV2" s="121"/>
      <c r="NIW2" s="121"/>
      <c r="NIX2" s="121"/>
      <c r="NIY2" s="121"/>
      <c r="NIZ2" s="121"/>
      <c r="NJA2" s="121"/>
      <c r="NJB2" s="121"/>
      <c r="NJC2" s="121"/>
      <c r="NJD2" s="121"/>
      <c r="NJE2" s="121"/>
      <c r="NJF2" s="121"/>
      <c r="NJG2" s="121"/>
      <c r="NJH2" s="121"/>
      <c r="NJI2" s="121"/>
      <c r="NJJ2" s="121"/>
      <c r="NJK2" s="121"/>
      <c r="NJL2" s="121"/>
      <c r="NJM2" s="121"/>
      <c r="NJN2" s="121"/>
      <c r="NJO2" s="121"/>
      <c r="NJP2" s="121"/>
      <c r="NJQ2" s="121"/>
      <c r="NJR2" s="121"/>
      <c r="NJS2" s="121"/>
      <c r="NJT2" s="121"/>
      <c r="NJU2" s="121"/>
      <c r="NJV2" s="121"/>
      <c r="NJW2" s="121"/>
      <c r="NJX2" s="121"/>
      <c r="NJY2" s="121"/>
      <c r="NJZ2" s="121"/>
      <c r="NKA2" s="121"/>
      <c r="NKB2" s="121"/>
      <c r="NKC2" s="121"/>
      <c r="NKD2" s="121"/>
      <c r="NKE2" s="121"/>
      <c r="NKF2" s="121"/>
      <c r="NKG2" s="121"/>
      <c r="NKH2" s="121"/>
      <c r="NKI2" s="121"/>
      <c r="NKJ2" s="121"/>
      <c r="NKK2" s="121"/>
      <c r="NKL2" s="121"/>
      <c r="NKM2" s="121"/>
      <c r="NKN2" s="121"/>
      <c r="NKO2" s="121"/>
      <c r="NKP2" s="121"/>
      <c r="NKQ2" s="121"/>
      <c r="NKR2" s="121"/>
      <c r="NKS2" s="121"/>
      <c r="NKT2" s="121"/>
      <c r="NKU2" s="121"/>
      <c r="NKV2" s="121"/>
      <c r="NKW2" s="121"/>
      <c r="NKX2" s="121"/>
      <c r="NKY2" s="121"/>
      <c r="NKZ2" s="121"/>
      <c r="NLA2" s="121"/>
      <c r="NLB2" s="121"/>
      <c r="NLC2" s="121"/>
      <c r="NLD2" s="121"/>
      <c r="NLE2" s="121"/>
      <c r="NLF2" s="121"/>
      <c r="NLG2" s="121"/>
      <c r="NLH2" s="121"/>
      <c r="NLI2" s="121"/>
      <c r="NLJ2" s="121"/>
      <c r="NLK2" s="121"/>
      <c r="NLL2" s="121"/>
      <c r="NLM2" s="121"/>
      <c r="NLN2" s="121"/>
      <c r="NLO2" s="121"/>
      <c r="NLP2" s="121"/>
      <c r="NLQ2" s="121"/>
      <c r="NLR2" s="121"/>
      <c r="NLS2" s="121"/>
      <c r="NLT2" s="121"/>
      <c r="NLU2" s="121"/>
      <c r="NLV2" s="121"/>
      <c r="NLW2" s="121"/>
      <c r="NLX2" s="121"/>
      <c r="NLY2" s="121"/>
      <c r="NLZ2" s="121"/>
      <c r="NMA2" s="121"/>
      <c r="NMB2" s="121"/>
      <c r="NMC2" s="121"/>
      <c r="NMD2" s="121"/>
      <c r="NME2" s="121"/>
      <c r="NMF2" s="121"/>
      <c r="NMG2" s="121"/>
      <c r="NMH2" s="121"/>
      <c r="NMI2" s="121"/>
      <c r="NMJ2" s="121"/>
      <c r="NMK2" s="121"/>
      <c r="NML2" s="121"/>
      <c r="NMM2" s="121"/>
      <c r="NMN2" s="121"/>
      <c r="NMO2" s="121"/>
      <c r="NMP2" s="121"/>
      <c r="NMQ2" s="121"/>
      <c r="NMR2" s="121"/>
      <c r="NMS2" s="121"/>
      <c r="NMT2" s="121"/>
      <c r="NMU2" s="121"/>
      <c r="NMV2" s="121"/>
      <c r="NMW2" s="121"/>
      <c r="NMX2" s="121"/>
      <c r="NMY2" s="121"/>
      <c r="NMZ2" s="121"/>
      <c r="NNA2" s="121"/>
      <c r="NNB2" s="121"/>
      <c r="NNC2" s="121"/>
      <c r="NND2" s="121"/>
      <c r="NNE2" s="121"/>
      <c r="NNF2" s="121"/>
      <c r="NNG2" s="121"/>
      <c r="NNH2" s="121"/>
      <c r="NNI2" s="121"/>
      <c r="NNJ2" s="121"/>
      <c r="NNK2" s="121"/>
      <c r="NNL2" s="121"/>
      <c r="NNM2" s="121"/>
      <c r="NNN2" s="121"/>
      <c r="NNO2" s="121"/>
      <c r="NNP2" s="121"/>
      <c r="NNQ2" s="121"/>
      <c r="NNR2" s="121"/>
      <c r="NNS2" s="121"/>
      <c r="NNT2" s="121"/>
      <c r="NNU2" s="121"/>
      <c r="NNV2" s="121"/>
      <c r="NNW2" s="121"/>
      <c r="NNX2" s="121"/>
      <c r="NNY2" s="121"/>
      <c r="NNZ2" s="121"/>
      <c r="NOA2" s="121"/>
      <c r="NOB2" s="121"/>
      <c r="NOC2" s="121"/>
      <c r="NOD2" s="121"/>
      <c r="NOE2" s="121"/>
      <c r="NOF2" s="121"/>
      <c r="NOG2" s="121"/>
      <c r="NOH2" s="121"/>
      <c r="NOI2" s="121"/>
      <c r="NOJ2" s="121"/>
      <c r="NOK2" s="121"/>
      <c r="NOL2" s="121"/>
      <c r="NOM2" s="121"/>
      <c r="NON2" s="121"/>
      <c r="NOO2" s="121"/>
      <c r="NOP2" s="121"/>
      <c r="NOQ2" s="121"/>
      <c r="NOR2" s="121"/>
      <c r="NOS2" s="121"/>
      <c r="NOT2" s="121"/>
      <c r="NOU2" s="121"/>
      <c r="NOV2" s="121"/>
      <c r="NOW2" s="121"/>
      <c r="NOX2" s="121"/>
      <c r="NOY2" s="121"/>
      <c r="NOZ2" s="121"/>
      <c r="NPA2" s="121"/>
      <c r="NPB2" s="121"/>
      <c r="NPC2" s="121"/>
      <c r="NPD2" s="121"/>
      <c r="NPE2" s="121"/>
      <c r="NPF2" s="121"/>
      <c r="NPG2" s="121"/>
      <c r="NPH2" s="121"/>
      <c r="NPI2" s="121"/>
      <c r="NPJ2" s="121"/>
      <c r="NPK2" s="121"/>
      <c r="NPL2" s="121"/>
      <c r="NPM2" s="121"/>
      <c r="NPN2" s="121"/>
      <c r="NPO2" s="121"/>
      <c r="NPP2" s="121"/>
      <c r="NPQ2" s="121"/>
      <c r="NPR2" s="121"/>
      <c r="NPS2" s="121"/>
      <c r="NPT2" s="121"/>
      <c r="NPU2" s="121"/>
      <c r="NPV2" s="121"/>
      <c r="NPW2" s="121"/>
      <c r="NPX2" s="121"/>
      <c r="NPY2" s="121"/>
      <c r="NPZ2" s="121"/>
      <c r="NQA2" s="121"/>
      <c r="NQB2" s="121"/>
      <c r="NQC2" s="121"/>
      <c r="NQD2" s="121"/>
      <c r="NQE2" s="121"/>
      <c r="NQF2" s="121"/>
      <c r="NQG2" s="121"/>
      <c r="NQH2" s="121"/>
      <c r="NQI2" s="121"/>
      <c r="NQJ2" s="121"/>
      <c r="NQK2" s="121"/>
      <c r="NQL2" s="121"/>
      <c r="NQM2" s="121"/>
      <c r="NQN2" s="121"/>
      <c r="NQO2" s="121"/>
      <c r="NQP2" s="121"/>
      <c r="NQQ2" s="121"/>
      <c r="NQR2" s="121"/>
      <c r="NQS2" s="121"/>
      <c r="NQT2" s="121"/>
      <c r="NQU2" s="121"/>
      <c r="NQV2" s="121"/>
      <c r="NQW2" s="121"/>
      <c r="NQX2" s="121"/>
      <c r="NQY2" s="121"/>
      <c r="NQZ2" s="121"/>
      <c r="NRA2" s="121"/>
      <c r="NRB2" s="121"/>
      <c r="NRC2" s="121"/>
      <c r="NRD2" s="121"/>
      <c r="NRE2" s="121"/>
      <c r="NRF2" s="121"/>
      <c r="NRG2" s="121"/>
      <c r="NRH2" s="121"/>
      <c r="NRI2" s="121"/>
      <c r="NRJ2" s="121"/>
      <c r="NRK2" s="121"/>
      <c r="NRL2" s="121"/>
      <c r="NRM2" s="121"/>
      <c r="NRN2" s="121"/>
      <c r="NRO2" s="121"/>
      <c r="NRP2" s="121"/>
      <c r="NRQ2" s="121"/>
      <c r="NRR2" s="121"/>
      <c r="NRS2" s="121"/>
      <c r="NRT2" s="121"/>
      <c r="NRU2" s="121"/>
      <c r="NRV2" s="121"/>
      <c r="NRW2" s="121"/>
      <c r="NRX2" s="121"/>
      <c r="NRY2" s="121"/>
      <c r="NRZ2" s="121"/>
      <c r="NSA2" s="121"/>
      <c r="NSB2" s="121"/>
      <c r="NSC2" s="121"/>
      <c r="NSD2" s="121"/>
      <c r="NSE2" s="121"/>
      <c r="NSF2" s="121"/>
      <c r="NSG2" s="121"/>
      <c r="NSH2" s="121"/>
      <c r="NSI2" s="121"/>
      <c r="NSJ2" s="121"/>
      <c r="NSK2" s="121"/>
      <c r="NSL2" s="121"/>
      <c r="NSM2" s="121"/>
      <c r="NSN2" s="121"/>
      <c r="NSO2" s="121"/>
      <c r="NSP2" s="121"/>
      <c r="NSQ2" s="121"/>
      <c r="NSR2" s="121"/>
      <c r="NSS2" s="121"/>
      <c r="NST2" s="121"/>
      <c r="NSU2" s="121"/>
      <c r="NSV2" s="121"/>
      <c r="NSW2" s="121"/>
      <c r="NSX2" s="121"/>
      <c r="NSY2" s="121"/>
      <c r="NSZ2" s="121"/>
      <c r="NTA2" s="121"/>
      <c r="NTB2" s="121"/>
      <c r="NTC2" s="121"/>
      <c r="NTD2" s="121"/>
      <c r="NTE2" s="121"/>
      <c r="NTF2" s="121"/>
      <c r="NTG2" s="121"/>
      <c r="NTH2" s="121"/>
      <c r="NTI2" s="121"/>
      <c r="NTJ2" s="121"/>
      <c r="NTK2" s="121"/>
      <c r="NTL2" s="121"/>
      <c r="NTM2" s="121"/>
      <c r="NTN2" s="121"/>
      <c r="NTO2" s="121"/>
      <c r="NTP2" s="121"/>
      <c r="NTQ2" s="121"/>
      <c r="NTR2" s="121"/>
      <c r="NTS2" s="121"/>
      <c r="NTT2" s="121"/>
      <c r="NTU2" s="121"/>
      <c r="NTV2" s="121"/>
      <c r="NTW2" s="121"/>
      <c r="NTX2" s="121"/>
      <c r="NTY2" s="121"/>
      <c r="NTZ2" s="121"/>
      <c r="NUA2" s="121"/>
      <c r="NUB2" s="121"/>
      <c r="NUC2" s="121"/>
      <c r="NUD2" s="121"/>
      <c r="NUE2" s="121"/>
      <c r="NUF2" s="121"/>
      <c r="NUG2" s="121"/>
      <c r="NUH2" s="121"/>
      <c r="NUI2" s="121"/>
      <c r="NUJ2" s="121"/>
      <c r="NUK2" s="121"/>
      <c r="NUL2" s="121"/>
      <c r="NUM2" s="121"/>
      <c r="NUN2" s="121"/>
      <c r="NUO2" s="121"/>
      <c r="NUP2" s="121"/>
      <c r="NUQ2" s="121"/>
      <c r="NUR2" s="121"/>
      <c r="NUS2" s="121"/>
      <c r="NUT2" s="121"/>
      <c r="NUU2" s="121"/>
      <c r="NUV2" s="121"/>
      <c r="NUW2" s="121"/>
      <c r="NUX2" s="121"/>
      <c r="NUY2" s="121"/>
      <c r="NUZ2" s="121"/>
      <c r="NVA2" s="121"/>
      <c r="NVB2" s="121"/>
      <c r="NVC2" s="121"/>
      <c r="NVD2" s="121"/>
      <c r="NVE2" s="121"/>
      <c r="NVF2" s="121"/>
      <c r="NVG2" s="121"/>
      <c r="NVH2" s="121"/>
      <c r="NVI2" s="121"/>
      <c r="NVJ2" s="121"/>
      <c r="NVK2" s="121"/>
      <c r="NVL2" s="121"/>
      <c r="NVM2" s="121"/>
      <c r="NVN2" s="121"/>
      <c r="NVO2" s="121"/>
      <c r="NVP2" s="121"/>
      <c r="NVQ2" s="121"/>
      <c r="NVR2" s="121"/>
      <c r="NVS2" s="121"/>
      <c r="NVT2" s="121"/>
      <c r="NVU2" s="121"/>
      <c r="NVV2" s="121"/>
      <c r="NVW2" s="121"/>
      <c r="NVX2" s="121"/>
      <c r="NVY2" s="121"/>
      <c r="NVZ2" s="121"/>
      <c r="NWA2" s="121"/>
      <c r="NWB2" s="121"/>
      <c r="NWC2" s="121"/>
      <c r="NWD2" s="121"/>
      <c r="NWE2" s="121"/>
      <c r="NWF2" s="121"/>
      <c r="NWG2" s="121"/>
      <c r="NWH2" s="121"/>
      <c r="NWI2" s="121"/>
      <c r="NWJ2" s="121"/>
      <c r="NWK2" s="121"/>
      <c r="NWL2" s="121"/>
      <c r="NWM2" s="121"/>
      <c r="NWN2" s="121"/>
      <c r="NWO2" s="121"/>
      <c r="NWP2" s="121"/>
      <c r="NWQ2" s="121"/>
      <c r="NWR2" s="121"/>
      <c r="NWS2" s="121"/>
      <c r="NWT2" s="121"/>
      <c r="NWU2" s="121"/>
      <c r="NWV2" s="121"/>
      <c r="NWW2" s="121"/>
      <c r="NWX2" s="121"/>
      <c r="NWY2" s="121"/>
      <c r="NWZ2" s="121"/>
      <c r="NXA2" s="121"/>
      <c r="NXB2" s="121"/>
      <c r="NXC2" s="121"/>
      <c r="NXD2" s="121"/>
      <c r="NXE2" s="121"/>
      <c r="NXF2" s="121"/>
      <c r="NXG2" s="121"/>
      <c r="NXH2" s="121"/>
      <c r="NXI2" s="121"/>
      <c r="NXJ2" s="121"/>
      <c r="NXK2" s="121"/>
      <c r="NXL2" s="121"/>
      <c r="NXM2" s="121"/>
      <c r="NXN2" s="121"/>
      <c r="NXO2" s="121"/>
      <c r="NXP2" s="121"/>
      <c r="NXQ2" s="121"/>
      <c r="NXR2" s="121"/>
      <c r="NXS2" s="121"/>
      <c r="NXT2" s="121"/>
      <c r="NXU2" s="121"/>
      <c r="NXV2" s="121"/>
      <c r="NXW2" s="121"/>
      <c r="NXX2" s="121"/>
      <c r="NXY2" s="121"/>
      <c r="NXZ2" s="121"/>
      <c r="NYA2" s="121"/>
      <c r="NYB2" s="121"/>
      <c r="NYC2" s="121"/>
      <c r="NYD2" s="121"/>
      <c r="NYE2" s="121"/>
      <c r="NYF2" s="121"/>
      <c r="NYG2" s="121"/>
      <c r="NYH2" s="121"/>
      <c r="NYI2" s="121"/>
      <c r="NYJ2" s="121"/>
      <c r="NYK2" s="121"/>
      <c r="NYL2" s="121"/>
      <c r="NYM2" s="121"/>
      <c r="NYN2" s="121"/>
      <c r="NYO2" s="121"/>
      <c r="NYP2" s="121"/>
      <c r="NYQ2" s="121"/>
      <c r="NYR2" s="121"/>
      <c r="NYS2" s="121"/>
      <c r="NYT2" s="121"/>
      <c r="NYU2" s="121"/>
      <c r="NYV2" s="121"/>
      <c r="NYW2" s="121"/>
      <c r="NYX2" s="121"/>
      <c r="NYY2" s="121"/>
      <c r="NYZ2" s="121"/>
      <c r="NZA2" s="121"/>
      <c r="NZB2" s="121"/>
      <c r="NZC2" s="121"/>
      <c r="NZD2" s="121"/>
      <c r="NZE2" s="121"/>
      <c r="NZF2" s="121"/>
      <c r="NZG2" s="121"/>
      <c r="NZH2" s="121"/>
      <c r="NZI2" s="121"/>
      <c r="NZJ2" s="121"/>
      <c r="NZK2" s="121"/>
      <c r="NZL2" s="121"/>
      <c r="NZM2" s="121"/>
      <c r="NZN2" s="121"/>
      <c r="NZO2" s="121"/>
      <c r="NZP2" s="121"/>
      <c r="NZQ2" s="121"/>
      <c r="NZR2" s="121"/>
      <c r="NZS2" s="121"/>
      <c r="NZT2" s="121"/>
      <c r="NZU2" s="121"/>
      <c r="NZV2" s="121"/>
      <c r="NZW2" s="121"/>
      <c r="NZX2" s="121"/>
      <c r="NZY2" s="121"/>
      <c r="NZZ2" s="121"/>
      <c r="OAA2" s="121"/>
      <c r="OAB2" s="121"/>
      <c r="OAC2" s="121"/>
      <c r="OAD2" s="121"/>
      <c r="OAE2" s="121"/>
      <c r="OAF2" s="121"/>
      <c r="OAG2" s="121"/>
      <c r="OAH2" s="121"/>
      <c r="OAI2" s="121"/>
      <c r="OAJ2" s="121"/>
      <c r="OAK2" s="121"/>
      <c r="OAL2" s="121"/>
      <c r="OAM2" s="121"/>
      <c r="OAN2" s="121"/>
      <c r="OAO2" s="121"/>
      <c r="OAP2" s="121"/>
      <c r="OAQ2" s="121"/>
      <c r="OAR2" s="121"/>
      <c r="OAS2" s="121"/>
      <c r="OAT2" s="121"/>
      <c r="OAU2" s="121"/>
      <c r="OAV2" s="121"/>
      <c r="OAW2" s="121"/>
      <c r="OAX2" s="121"/>
      <c r="OAY2" s="121"/>
      <c r="OAZ2" s="121"/>
      <c r="OBA2" s="121"/>
      <c r="OBB2" s="121"/>
      <c r="OBC2" s="121"/>
      <c r="OBD2" s="121"/>
      <c r="OBE2" s="121"/>
      <c r="OBF2" s="121"/>
      <c r="OBG2" s="121"/>
      <c r="OBH2" s="121"/>
      <c r="OBI2" s="121"/>
      <c r="OBJ2" s="121"/>
      <c r="OBK2" s="121"/>
      <c r="OBL2" s="121"/>
      <c r="OBM2" s="121"/>
      <c r="OBN2" s="121"/>
      <c r="OBO2" s="121"/>
      <c r="OBP2" s="121"/>
      <c r="OBQ2" s="121"/>
      <c r="OBR2" s="121"/>
      <c r="OBS2" s="121"/>
      <c r="OBT2" s="121"/>
      <c r="OBU2" s="121"/>
      <c r="OBV2" s="121"/>
      <c r="OBW2" s="121"/>
      <c r="OBX2" s="121"/>
      <c r="OBY2" s="121"/>
      <c r="OBZ2" s="121"/>
      <c r="OCA2" s="121"/>
      <c r="OCB2" s="121"/>
      <c r="OCC2" s="121"/>
      <c r="OCD2" s="121"/>
      <c r="OCE2" s="121"/>
      <c r="OCF2" s="121"/>
      <c r="OCG2" s="121"/>
      <c r="OCH2" s="121"/>
      <c r="OCI2" s="121"/>
      <c r="OCJ2" s="121"/>
      <c r="OCK2" s="121"/>
      <c r="OCL2" s="121"/>
      <c r="OCM2" s="121"/>
      <c r="OCN2" s="121"/>
      <c r="OCO2" s="121"/>
      <c r="OCP2" s="121"/>
      <c r="OCQ2" s="121"/>
      <c r="OCR2" s="121"/>
      <c r="OCS2" s="121"/>
      <c r="OCT2" s="121"/>
      <c r="OCU2" s="121"/>
      <c r="OCV2" s="121"/>
      <c r="OCW2" s="121"/>
      <c r="OCX2" s="121"/>
      <c r="OCY2" s="121"/>
      <c r="OCZ2" s="121"/>
      <c r="ODA2" s="121"/>
      <c r="ODB2" s="121"/>
      <c r="ODC2" s="121"/>
      <c r="ODD2" s="121"/>
      <c r="ODE2" s="121"/>
      <c r="ODF2" s="121"/>
      <c r="ODG2" s="121"/>
      <c r="ODH2" s="121"/>
      <c r="ODI2" s="121"/>
      <c r="ODJ2" s="121"/>
      <c r="ODK2" s="121"/>
      <c r="ODL2" s="121"/>
      <c r="ODM2" s="121"/>
      <c r="ODN2" s="121"/>
      <c r="ODO2" s="121"/>
      <c r="ODP2" s="121"/>
      <c r="ODQ2" s="121"/>
      <c r="ODR2" s="121"/>
      <c r="ODS2" s="121"/>
      <c r="ODT2" s="121"/>
      <c r="ODU2" s="121"/>
      <c r="ODV2" s="121"/>
      <c r="ODW2" s="121"/>
      <c r="ODX2" s="121"/>
      <c r="ODY2" s="121"/>
      <c r="ODZ2" s="121"/>
      <c r="OEA2" s="121"/>
      <c r="OEB2" s="121"/>
      <c r="OEC2" s="121"/>
      <c r="OED2" s="121"/>
      <c r="OEE2" s="121"/>
      <c r="OEF2" s="121"/>
      <c r="OEG2" s="121"/>
      <c r="OEH2" s="121"/>
      <c r="OEI2" s="121"/>
      <c r="OEJ2" s="121"/>
      <c r="OEK2" s="121"/>
      <c r="OEL2" s="121"/>
      <c r="OEM2" s="121"/>
      <c r="OEN2" s="121"/>
      <c r="OEO2" s="121"/>
      <c r="OEP2" s="121"/>
      <c r="OEQ2" s="121"/>
      <c r="OER2" s="121"/>
      <c r="OES2" s="121"/>
      <c r="OET2" s="121"/>
      <c r="OEU2" s="121"/>
      <c r="OEV2" s="121"/>
      <c r="OEW2" s="121"/>
      <c r="OEX2" s="121"/>
      <c r="OEY2" s="121"/>
      <c r="OEZ2" s="121"/>
      <c r="OFA2" s="121"/>
      <c r="OFB2" s="121"/>
      <c r="OFC2" s="121"/>
      <c r="OFD2" s="121"/>
      <c r="OFE2" s="121"/>
      <c r="OFF2" s="121"/>
      <c r="OFG2" s="121"/>
      <c r="OFH2" s="121"/>
      <c r="OFI2" s="121"/>
      <c r="OFJ2" s="121"/>
      <c r="OFK2" s="121"/>
      <c r="OFL2" s="121"/>
      <c r="OFM2" s="121"/>
      <c r="OFN2" s="121"/>
      <c r="OFO2" s="121"/>
      <c r="OFP2" s="121"/>
      <c r="OFQ2" s="121"/>
      <c r="OFR2" s="121"/>
      <c r="OFS2" s="121"/>
      <c r="OFT2" s="121"/>
      <c r="OFU2" s="121"/>
      <c r="OFV2" s="121"/>
      <c r="OFW2" s="121"/>
      <c r="OFX2" s="121"/>
      <c r="OFY2" s="121"/>
      <c r="OFZ2" s="121"/>
      <c r="OGA2" s="121"/>
      <c r="OGB2" s="121"/>
      <c r="OGC2" s="121"/>
      <c r="OGD2" s="121"/>
      <c r="OGE2" s="121"/>
      <c r="OGF2" s="121"/>
      <c r="OGG2" s="121"/>
      <c r="OGH2" s="121"/>
      <c r="OGI2" s="121"/>
      <c r="OGJ2" s="121"/>
      <c r="OGK2" s="121"/>
      <c r="OGL2" s="121"/>
      <c r="OGM2" s="121"/>
      <c r="OGN2" s="121"/>
      <c r="OGO2" s="121"/>
      <c r="OGP2" s="121"/>
      <c r="OGQ2" s="121"/>
      <c r="OGR2" s="121"/>
      <c r="OGS2" s="121"/>
      <c r="OGT2" s="121"/>
      <c r="OGU2" s="121"/>
      <c r="OGV2" s="121"/>
      <c r="OGW2" s="121"/>
      <c r="OGX2" s="121"/>
      <c r="OGY2" s="121"/>
      <c r="OGZ2" s="121"/>
      <c r="OHA2" s="121"/>
      <c r="OHB2" s="121"/>
      <c r="OHC2" s="121"/>
      <c r="OHD2" s="121"/>
      <c r="OHE2" s="121"/>
      <c r="OHF2" s="121"/>
      <c r="OHG2" s="121"/>
      <c r="OHH2" s="121"/>
      <c r="OHI2" s="121"/>
      <c r="OHJ2" s="121"/>
      <c r="OHK2" s="121"/>
      <c r="OHL2" s="121"/>
      <c r="OHM2" s="121"/>
      <c r="OHN2" s="121"/>
      <c r="OHO2" s="121"/>
      <c r="OHP2" s="121"/>
      <c r="OHQ2" s="121"/>
      <c r="OHR2" s="121"/>
      <c r="OHS2" s="121"/>
      <c r="OHT2" s="121"/>
      <c r="OHU2" s="121"/>
      <c r="OHV2" s="121"/>
      <c r="OHW2" s="121"/>
      <c r="OHX2" s="121"/>
      <c r="OHY2" s="121"/>
      <c r="OHZ2" s="121"/>
      <c r="OIA2" s="121"/>
      <c r="OIB2" s="121"/>
      <c r="OIC2" s="121"/>
      <c r="OID2" s="121"/>
      <c r="OIE2" s="121"/>
      <c r="OIF2" s="121"/>
      <c r="OIG2" s="121"/>
      <c r="OIH2" s="121"/>
      <c r="OII2" s="121"/>
      <c r="OIJ2" s="121"/>
      <c r="OIK2" s="121"/>
      <c r="OIL2" s="121"/>
      <c r="OIM2" s="121"/>
      <c r="OIN2" s="121"/>
      <c r="OIO2" s="121"/>
      <c r="OIP2" s="121"/>
      <c r="OIQ2" s="121"/>
      <c r="OIR2" s="121"/>
      <c r="OIS2" s="121"/>
      <c r="OIT2" s="121"/>
      <c r="OIU2" s="121"/>
      <c r="OIV2" s="121"/>
      <c r="OIW2" s="121"/>
      <c r="OIX2" s="121"/>
      <c r="OIY2" s="121"/>
      <c r="OIZ2" s="121"/>
      <c r="OJA2" s="121"/>
      <c r="OJB2" s="121"/>
      <c r="OJC2" s="121"/>
      <c r="OJD2" s="121"/>
      <c r="OJE2" s="121"/>
      <c r="OJF2" s="121"/>
      <c r="OJG2" s="121"/>
      <c r="OJH2" s="121"/>
      <c r="OJI2" s="121"/>
      <c r="OJJ2" s="121"/>
      <c r="OJK2" s="121"/>
      <c r="OJL2" s="121"/>
      <c r="OJM2" s="121"/>
      <c r="OJN2" s="121"/>
      <c r="OJO2" s="121"/>
      <c r="OJP2" s="121"/>
      <c r="OJQ2" s="121"/>
      <c r="OJR2" s="121"/>
      <c r="OJS2" s="121"/>
      <c r="OJT2" s="121"/>
      <c r="OJU2" s="121"/>
      <c r="OJV2" s="121"/>
      <c r="OJW2" s="121"/>
      <c r="OJX2" s="121"/>
      <c r="OJY2" s="121"/>
      <c r="OJZ2" s="121"/>
      <c r="OKA2" s="121"/>
      <c r="OKB2" s="121"/>
      <c r="OKC2" s="121"/>
      <c r="OKD2" s="121"/>
      <c r="OKE2" s="121"/>
      <c r="OKF2" s="121"/>
      <c r="OKG2" s="121"/>
      <c r="OKH2" s="121"/>
      <c r="OKI2" s="121"/>
      <c r="OKJ2" s="121"/>
      <c r="OKK2" s="121"/>
      <c r="OKL2" s="121"/>
      <c r="OKM2" s="121"/>
      <c r="OKN2" s="121"/>
      <c r="OKO2" s="121"/>
      <c r="OKP2" s="121"/>
      <c r="OKQ2" s="121"/>
      <c r="OKR2" s="121"/>
      <c r="OKS2" s="121"/>
      <c r="OKT2" s="121"/>
      <c r="OKU2" s="121"/>
      <c r="OKV2" s="121"/>
      <c r="OKW2" s="121"/>
      <c r="OKX2" s="121"/>
      <c r="OKY2" s="121"/>
      <c r="OKZ2" s="121"/>
      <c r="OLA2" s="121"/>
      <c r="OLB2" s="121"/>
      <c r="OLC2" s="121"/>
      <c r="OLD2" s="121"/>
      <c r="OLE2" s="121"/>
      <c r="OLF2" s="121"/>
      <c r="OLG2" s="121"/>
      <c r="OLH2" s="121"/>
      <c r="OLI2" s="121"/>
      <c r="OLJ2" s="121"/>
      <c r="OLK2" s="121"/>
      <c r="OLL2" s="121"/>
      <c r="OLM2" s="121"/>
      <c r="OLN2" s="121"/>
      <c r="OLO2" s="121"/>
      <c r="OLP2" s="121"/>
      <c r="OLQ2" s="121"/>
      <c r="OLR2" s="121"/>
      <c r="OLS2" s="121"/>
      <c r="OLT2" s="121"/>
      <c r="OLU2" s="121"/>
      <c r="OLV2" s="121"/>
      <c r="OLW2" s="121"/>
      <c r="OLX2" s="121"/>
      <c r="OLY2" s="121"/>
      <c r="OLZ2" s="121"/>
      <c r="OMA2" s="121"/>
      <c r="OMB2" s="121"/>
      <c r="OMC2" s="121"/>
      <c r="OMD2" s="121"/>
      <c r="OME2" s="121"/>
      <c r="OMF2" s="121"/>
      <c r="OMG2" s="121"/>
      <c r="OMH2" s="121"/>
      <c r="OMI2" s="121"/>
      <c r="OMJ2" s="121"/>
      <c r="OMK2" s="121"/>
      <c r="OML2" s="121"/>
      <c r="OMM2" s="121"/>
      <c r="OMN2" s="121"/>
      <c r="OMO2" s="121"/>
      <c r="OMP2" s="121"/>
      <c r="OMQ2" s="121"/>
      <c r="OMR2" s="121"/>
      <c r="OMS2" s="121"/>
      <c r="OMT2" s="121"/>
      <c r="OMU2" s="121"/>
      <c r="OMV2" s="121"/>
      <c r="OMW2" s="121"/>
      <c r="OMX2" s="121"/>
      <c r="OMY2" s="121"/>
      <c r="OMZ2" s="121"/>
      <c r="ONA2" s="121"/>
      <c r="ONB2" s="121"/>
      <c r="ONC2" s="121"/>
      <c r="OND2" s="121"/>
      <c r="ONE2" s="121"/>
      <c r="ONF2" s="121"/>
      <c r="ONG2" s="121"/>
      <c r="ONH2" s="121"/>
      <c r="ONI2" s="121"/>
      <c r="ONJ2" s="121"/>
      <c r="ONK2" s="121"/>
      <c r="ONL2" s="121"/>
      <c r="ONM2" s="121"/>
      <c r="ONN2" s="121"/>
      <c r="ONO2" s="121"/>
      <c r="ONP2" s="121"/>
      <c r="ONQ2" s="121"/>
      <c r="ONR2" s="121"/>
      <c r="ONS2" s="121"/>
      <c r="ONT2" s="121"/>
      <c r="ONU2" s="121"/>
      <c r="ONV2" s="121"/>
      <c r="ONW2" s="121"/>
      <c r="ONX2" s="121"/>
      <c r="ONY2" s="121"/>
      <c r="ONZ2" s="121"/>
      <c r="OOA2" s="121"/>
      <c r="OOB2" s="121"/>
      <c r="OOC2" s="121"/>
      <c r="OOD2" s="121"/>
      <c r="OOE2" s="121"/>
      <c r="OOF2" s="121"/>
      <c r="OOG2" s="121"/>
      <c r="OOH2" s="121"/>
      <c r="OOI2" s="121"/>
      <c r="OOJ2" s="121"/>
      <c r="OOK2" s="121"/>
      <c r="OOL2" s="121"/>
      <c r="OOM2" s="121"/>
      <c r="OON2" s="121"/>
      <c r="OOO2" s="121"/>
      <c r="OOP2" s="121"/>
      <c r="OOQ2" s="121"/>
      <c r="OOR2" s="121"/>
      <c r="OOS2" s="121"/>
      <c r="OOT2" s="121"/>
      <c r="OOU2" s="121"/>
      <c r="OOV2" s="121"/>
      <c r="OOW2" s="121"/>
      <c r="OOX2" s="121"/>
      <c r="OOY2" s="121"/>
      <c r="OOZ2" s="121"/>
      <c r="OPA2" s="121"/>
      <c r="OPB2" s="121"/>
      <c r="OPC2" s="121"/>
      <c r="OPD2" s="121"/>
      <c r="OPE2" s="121"/>
      <c r="OPF2" s="121"/>
      <c r="OPG2" s="121"/>
      <c r="OPH2" s="121"/>
      <c r="OPI2" s="121"/>
      <c r="OPJ2" s="121"/>
      <c r="OPK2" s="121"/>
      <c r="OPL2" s="121"/>
      <c r="OPM2" s="121"/>
      <c r="OPN2" s="121"/>
      <c r="OPO2" s="121"/>
      <c r="OPP2" s="121"/>
      <c r="OPQ2" s="121"/>
      <c r="OPR2" s="121"/>
      <c r="OPS2" s="121"/>
      <c r="OPT2" s="121"/>
      <c r="OPU2" s="121"/>
      <c r="OPV2" s="121"/>
      <c r="OPW2" s="121"/>
      <c r="OPX2" s="121"/>
      <c r="OPY2" s="121"/>
      <c r="OPZ2" s="121"/>
      <c r="OQA2" s="121"/>
      <c r="OQB2" s="121"/>
      <c r="OQC2" s="121"/>
      <c r="OQD2" s="121"/>
      <c r="OQE2" s="121"/>
      <c r="OQF2" s="121"/>
      <c r="OQG2" s="121"/>
      <c r="OQH2" s="121"/>
      <c r="OQI2" s="121"/>
      <c r="OQJ2" s="121"/>
      <c r="OQK2" s="121"/>
      <c r="OQL2" s="121"/>
      <c r="OQM2" s="121"/>
      <c r="OQN2" s="121"/>
      <c r="OQO2" s="121"/>
      <c r="OQP2" s="121"/>
      <c r="OQQ2" s="121"/>
      <c r="OQR2" s="121"/>
      <c r="OQS2" s="121"/>
      <c r="OQT2" s="121"/>
      <c r="OQU2" s="121"/>
      <c r="OQV2" s="121"/>
      <c r="OQW2" s="121"/>
      <c r="OQX2" s="121"/>
      <c r="OQY2" s="121"/>
      <c r="OQZ2" s="121"/>
      <c r="ORA2" s="121"/>
      <c r="ORB2" s="121"/>
      <c r="ORC2" s="121"/>
      <c r="ORD2" s="121"/>
      <c r="ORE2" s="121"/>
      <c r="ORF2" s="121"/>
      <c r="ORG2" s="121"/>
      <c r="ORH2" s="121"/>
      <c r="ORI2" s="121"/>
      <c r="ORJ2" s="121"/>
      <c r="ORK2" s="121"/>
      <c r="ORL2" s="121"/>
      <c r="ORM2" s="121"/>
      <c r="ORN2" s="121"/>
      <c r="ORO2" s="121"/>
      <c r="ORP2" s="121"/>
      <c r="ORQ2" s="121"/>
      <c r="ORR2" s="121"/>
      <c r="ORS2" s="121"/>
      <c r="ORT2" s="121"/>
      <c r="ORU2" s="121"/>
      <c r="ORV2" s="121"/>
      <c r="ORW2" s="121"/>
      <c r="ORX2" s="121"/>
      <c r="ORY2" s="121"/>
      <c r="ORZ2" s="121"/>
      <c r="OSA2" s="121"/>
      <c r="OSB2" s="121"/>
      <c r="OSC2" s="121"/>
      <c r="OSD2" s="121"/>
      <c r="OSE2" s="121"/>
      <c r="OSF2" s="121"/>
      <c r="OSG2" s="121"/>
      <c r="OSH2" s="121"/>
      <c r="OSI2" s="121"/>
      <c r="OSJ2" s="121"/>
      <c r="OSK2" s="121"/>
      <c r="OSL2" s="121"/>
      <c r="OSM2" s="121"/>
      <c r="OSN2" s="121"/>
      <c r="OSO2" s="121"/>
      <c r="OSP2" s="121"/>
      <c r="OSQ2" s="121"/>
      <c r="OSR2" s="121"/>
      <c r="OSS2" s="121"/>
      <c r="OST2" s="121"/>
      <c r="OSU2" s="121"/>
      <c r="OSV2" s="121"/>
      <c r="OSW2" s="121"/>
      <c r="OSX2" s="121"/>
      <c r="OSY2" s="121"/>
      <c r="OSZ2" s="121"/>
      <c r="OTA2" s="121"/>
      <c r="OTB2" s="121"/>
      <c r="OTC2" s="121"/>
      <c r="OTD2" s="121"/>
      <c r="OTE2" s="121"/>
      <c r="OTF2" s="121"/>
      <c r="OTG2" s="121"/>
      <c r="OTH2" s="121"/>
      <c r="OTI2" s="121"/>
      <c r="OTJ2" s="121"/>
      <c r="OTK2" s="121"/>
      <c r="OTL2" s="121"/>
      <c r="OTM2" s="121"/>
      <c r="OTN2" s="121"/>
      <c r="OTO2" s="121"/>
      <c r="OTP2" s="121"/>
      <c r="OTQ2" s="121"/>
      <c r="OTR2" s="121"/>
      <c r="OTS2" s="121"/>
      <c r="OTT2" s="121"/>
      <c r="OTU2" s="121"/>
      <c r="OTV2" s="121"/>
      <c r="OTW2" s="121"/>
      <c r="OTX2" s="121"/>
      <c r="OTY2" s="121"/>
      <c r="OTZ2" s="121"/>
      <c r="OUA2" s="121"/>
      <c r="OUB2" s="121"/>
      <c r="OUC2" s="121"/>
      <c r="OUD2" s="121"/>
      <c r="OUE2" s="121"/>
      <c r="OUF2" s="121"/>
      <c r="OUG2" s="121"/>
      <c r="OUH2" s="121"/>
      <c r="OUI2" s="121"/>
      <c r="OUJ2" s="121"/>
      <c r="OUK2" s="121"/>
      <c r="OUL2" s="121"/>
      <c r="OUM2" s="121"/>
      <c r="OUN2" s="121"/>
      <c r="OUO2" s="121"/>
      <c r="OUP2" s="121"/>
      <c r="OUQ2" s="121"/>
      <c r="OUR2" s="121"/>
      <c r="OUS2" s="121"/>
      <c r="OUT2" s="121"/>
      <c r="OUU2" s="121"/>
      <c r="OUV2" s="121"/>
      <c r="OUW2" s="121"/>
      <c r="OUX2" s="121"/>
      <c r="OUY2" s="121"/>
      <c r="OUZ2" s="121"/>
      <c r="OVA2" s="121"/>
      <c r="OVB2" s="121"/>
      <c r="OVC2" s="121"/>
      <c r="OVD2" s="121"/>
      <c r="OVE2" s="121"/>
      <c r="OVF2" s="121"/>
      <c r="OVG2" s="121"/>
      <c r="OVH2" s="121"/>
      <c r="OVI2" s="121"/>
      <c r="OVJ2" s="121"/>
      <c r="OVK2" s="121"/>
      <c r="OVL2" s="121"/>
      <c r="OVM2" s="121"/>
      <c r="OVN2" s="121"/>
      <c r="OVO2" s="121"/>
      <c r="OVP2" s="121"/>
      <c r="OVQ2" s="121"/>
      <c r="OVR2" s="121"/>
      <c r="OVS2" s="121"/>
      <c r="OVT2" s="121"/>
      <c r="OVU2" s="121"/>
      <c r="OVV2" s="121"/>
      <c r="OVW2" s="121"/>
      <c r="OVX2" s="121"/>
      <c r="OVY2" s="121"/>
      <c r="OVZ2" s="121"/>
      <c r="OWA2" s="121"/>
      <c r="OWB2" s="121"/>
      <c r="OWC2" s="121"/>
      <c r="OWD2" s="121"/>
      <c r="OWE2" s="121"/>
      <c r="OWF2" s="121"/>
      <c r="OWG2" s="121"/>
      <c r="OWH2" s="121"/>
      <c r="OWI2" s="121"/>
      <c r="OWJ2" s="121"/>
      <c r="OWK2" s="121"/>
      <c r="OWL2" s="121"/>
      <c r="OWM2" s="121"/>
      <c r="OWN2" s="121"/>
      <c r="OWO2" s="121"/>
      <c r="OWP2" s="121"/>
      <c r="OWQ2" s="121"/>
      <c r="OWR2" s="121"/>
      <c r="OWS2" s="121"/>
      <c r="OWT2" s="121"/>
      <c r="OWU2" s="121"/>
      <c r="OWV2" s="121"/>
      <c r="OWW2" s="121"/>
      <c r="OWX2" s="121"/>
      <c r="OWY2" s="121"/>
      <c r="OWZ2" s="121"/>
      <c r="OXA2" s="121"/>
      <c r="OXB2" s="121"/>
      <c r="OXC2" s="121"/>
      <c r="OXD2" s="121"/>
      <c r="OXE2" s="121"/>
      <c r="OXF2" s="121"/>
      <c r="OXG2" s="121"/>
      <c r="OXH2" s="121"/>
      <c r="OXI2" s="121"/>
      <c r="OXJ2" s="121"/>
      <c r="OXK2" s="121"/>
      <c r="OXL2" s="121"/>
      <c r="OXM2" s="121"/>
      <c r="OXN2" s="121"/>
      <c r="OXO2" s="121"/>
      <c r="OXP2" s="121"/>
      <c r="OXQ2" s="121"/>
      <c r="OXR2" s="121"/>
      <c r="OXS2" s="121"/>
      <c r="OXT2" s="121"/>
      <c r="OXU2" s="121"/>
      <c r="OXV2" s="121"/>
      <c r="OXW2" s="121"/>
      <c r="OXX2" s="121"/>
      <c r="OXY2" s="121"/>
      <c r="OXZ2" s="121"/>
      <c r="OYA2" s="121"/>
      <c r="OYB2" s="121"/>
      <c r="OYC2" s="121"/>
      <c r="OYD2" s="121"/>
      <c r="OYE2" s="121"/>
      <c r="OYF2" s="121"/>
      <c r="OYG2" s="121"/>
      <c r="OYH2" s="121"/>
      <c r="OYI2" s="121"/>
      <c r="OYJ2" s="121"/>
      <c r="OYK2" s="121"/>
      <c r="OYL2" s="121"/>
      <c r="OYM2" s="121"/>
      <c r="OYN2" s="121"/>
      <c r="OYO2" s="121"/>
      <c r="OYP2" s="121"/>
      <c r="OYQ2" s="121"/>
      <c r="OYR2" s="121"/>
      <c r="OYS2" s="121"/>
      <c r="OYT2" s="121"/>
      <c r="OYU2" s="121"/>
      <c r="OYV2" s="121"/>
      <c r="OYW2" s="121"/>
      <c r="OYX2" s="121"/>
      <c r="OYY2" s="121"/>
      <c r="OYZ2" s="121"/>
      <c r="OZA2" s="121"/>
      <c r="OZB2" s="121"/>
      <c r="OZC2" s="121"/>
      <c r="OZD2" s="121"/>
      <c r="OZE2" s="121"/>
      <c r="OZF2" s="121"/>
      <c r="OZG2" s="121"/>
      <c r="OZH2" s="121"/>
      <c r="OZI2" s="121"/>
      <c r="OZJ2" s="121"/>
      <c r="OZK2" s="121"/>
      <c r="OZL2" s="121"/>
      <c r="OZM2" s="121"/>
      <c r="OZN2" s="121"/>
      <c r="OZO2" s="121"/>
      <c r="OZP2" s="121"/>
      <c r="OZQ2" s="121"/>
      <c r="OZR2" s="121"/>
      <c r="OZS2" s="121"/>
      <c r="OZT2" s="121"/>
      <c r="OZU2" s="121"/>
      <c r="OZV2" s="121"/>
      <c r="OZW2" s="121"/>
      <c r="OZX2" s="121"/>
      <c r="OZY2" s="121"/>
      <c r="OZZ2" s="121"/>
      <c r="PAA2" s="121"/>
      <c r="PAB2" s="121"/>
      <c r="PAC2" s="121"/>
      <c r="PAD2" s="121"/>
      <c r="PAE2" s="121"/>
      <c r="PAF2" s="121"/>
      <c r="PAG2" s="121"/>
      <c r="PAH2" s="121"/>
      <c r="PAI2" s="121"/>
      <c r="PAJ2" s="121"/>
      <c r="PAK2" s="121"/>
      <c r="PAL2" s="121"/>
      <c r="PAM2" s="121"/>
      <c r="PAN2" s="121"/>
      <c r="PAO2" s="121"/>
      <c r="PAP2" s="121"/>
      <c r="PAQ2" s="121"/>
      <c r="PAR2" s="121"/>
      <c r="PAS2" s="121"/>
      <c r="PAT2" s="121"/>
      <c r="PAU2" s="121"/>
      <c r="PAV2" s="121"/>
      <c r="PAW2" s="121"/>
      <c r="PAX2" s="121"/>
      <c r="PAY2" s="121"/>
      <c r="PAZ2" s="121"/>
      <c r="PBA2" s="121"/>
      <c r="PBB2" s="121"/>
      <c r="PBC2" s="121"/>
      <c r="PBD2" s="121"/>
      <c r="PBE2" s="121"/>
      <c r="PBF2" s="121"/>
      <c r="PBG2" s="121"/>
      <c r="PBH2" s="121"/>
      <c r="PBI2" s="121"/>
      <c r="PBJ2" s="121"/>
      <c r="PBK2" s="121"/>
      <c r="PBL2" s="121"/>
      <c r="PBM2" s="121"/>
      <c r="PBN2" s="121"/>
      <c r="PBO2" s="121"/>
      <c r="PBP2" s="121"/>
      <c r="PBQ2" s="121"/>
      <c r="PBR2" s="121"/>
      <c r="PBS2" s="121"/>
      <c r="PBT2" s="121"/>
      <c r="PBU2" s="121"/>
      <c r="PBV2" s="121"/>
      <c r="PBW2" s="121"/>
      <c r="PBX2" s="121"/>
      <c r="PBY2" s="121"/>
      <c r="PBZ2" s="121"/>
      <c r="PCA2" s="121"/>
      <c r="PCB2" s="121"/>
      <c r="PCC2" s="121"/>
      <c r="PCD2" s="121"/>
      <c r="PCE2" s="121"/>
      <c r="PCF2" s="121"/>
      <c r="PCG2" s="121"/>
      <c r="PCH2" s="121"/>
      <c r="PCI2" s="121"/>
      <c r="PCJ2" s="121"/>
      <c r="PCK2" s="121"/>
      <c r="PCL2" s="121"/>
      <c r="PCM2" s="121"/>
      <c r="PCN2" s="121"/>
      <c r="PCO2" s="121"/>
      <c r="PCP2" s="121"/>
      <c r="PCQ2" s="121"/>
      <c r="PCR2" s="121"/>
      <c r="PCS2" s="121"/>
      <c r="PCT2" s="121"/>
      <c r="PCU2" s="121"/>
      <c r="PCV2" s="121"/>
      <c r="PCW2" s="121"/>
      <c r="PCX2" s="121"/>
      <c r="PCY2" s="121"/>
      <c r="PCZ2" s="121"/>
      <c r="PDA2" s="121"/>
      <c r="PDB2" s="121"/>
      <c r="PDC2" s="121"/>
      <c r="PDD2" s="121"/>
      <c r="PDE2" s="121"/>
      <c r="PDF2" s="121"/>
      <c r="PDG2" s="121"/>
      <c r="PDH2" s="121"/>
      <c r="PDI2" s="121"/>
      <c r="PDJ2" s="121"/>
      <c r="PDK2" s="121"/>
      <c r="PDL2" s="121"/>
      <c r="PDM2" s="121"/>
      <c r="PDN2" s="121"/>
      <c r="PDO2" s="121"/>
      <c r="PDP2" s="121"/>
      <c r="PDQ2" s="121"/>
      <c r="PDR2" s="121"/>
      <c r="PDS2" s="121"/>
      <c r="PDT2" s="121"/>
      <c r="PDU2" s="121"/>
      <c r="PDV2" s="121"/>
      <c r="PDW2" s="121"/>
      <c r="PDX2" s="121"/>
      <c r="PDY2" s="121"/>
      <c r="PDZ2" s="121"/>
      <c r="PEA2" s="121"/>
      <c r="PEB2" s="121"/>
      <c r="PEC2" s="121"/>
      <c r="PED2" s="121"/>
      <c r="PEE2" s="121"/>
      <c r="PEF2" s="121"/>
      <c r="PEG2" s="121"/>
      <c r="PEH2" s="121"/>
      <c r="PEI2" s="121"/>
      <c r="PEJ2" s="121"/>
      <c r="PEK2" s="121"/>
      <c r="PEL2" s="121"/>
      <c r="PEM2" s="121"/>
      <c r="PEN2" s="121"/>
      <c r="PEO2" s="121"/>
      <c r="PEP2" s="121"/>
      <c r="PEQ2" s="121"/>
      <c r="PER2" s="121"/>
      <c r="PES2" s="121"/>
      <c r="PET2" s="121"/>
      <c r="PEU2" s="121"/>
      <c r="PEV2" s="121"/>
      <c r="PEW2" s="121"/>
      <c r="PEX2" s="121"/>
      <c r="PEY2" s="121"/>
      <c r="PEZ2" s="121"/>
      <c r="PFA2" s="121"/>
      <c r="PFB2" s="121"/>
      <c r="PFC2" s="121"/>
      <c r="PFD2" s="121"/>
      <c r="PFE2" s="121"/>
      <c r="PFF2" s="121"/>
      <c r="PFG2" s="121"/>
      <c r="PFH2" s="121"/>
      <c r="PFI2" s="121"/>
      <c r="PFJ2" s="121"/>
      <c r="PFK2" s="121"/>
      <c r="PFL2" s="121"/>
      <c r="PFM2" s="121"/>
      <c r="PFN2" s="121"/>
      <c r="PFO2" s="121"/>
      <c r="PFP2" s="121"/>
      <c r="PFQ2" s="121"/>
      <c r="PFR2" s="121"/>
      <c r="PFS2" s="121"/>
      <c r="PFT2" s="121"/>
      <c r="PFU2" s="121"/>
      <c r="PFV2" s="121"/>
      <c r="PFW2" s="121"/>
      <c r="PFX2" s="121"/>
      <c r="PFY2" s="121"/>
      <c r="PFZ2" s="121"/>
      <c r="PGA2" s="121"/>
      <c r="PGB2" s="121"/>
      <c r="PGC2" s="121"/>
      <c r="PGD2" s="121"/>
      <c r="PGE2" s="121"/>
      <c r="PGF2" s="121"/>
      <c r="PGG2" s="121"/>
      <c r="PGH2" s="121"/>
      <c r="PGI2" s="121"/>
      <c r="PGJ2" s="121"/>
      <c r="PGK2" s="121"/>
      <c r="PGL2" s="121"/>
      <c r="PGM2" s="121"/>
      <c r="PGN2" s="121"/>
      <c r="PGO2" s="121"/>
      <c r="PGP2" s="121"/>
      <c r="PGQ2" s="121"/>
      <c r="PGR2" s="121"/>
      <c r="PGS2" s="121"/>
      <c r="PGT2" s="121"/>
      <c r="PGU2" s="121"/>
      <c r="PGV2" s="121"/>
      <c r="PGW2" s="121"/>
      <c r="PGX2" s="121"/>
      <c r="PGY2" s="121"/>
      <c r="PGZ2" s="121"/>
      <c r="PHA2" s="121"/>
      <c r="PHB2" s="121"/>
      <c r="PHC2" s="121"/>
      <c r="PHD2" s="121"/>
      <c r="PHE2" s="121"/>
      <c r="PHF2" s="121"/>
      <c r="PHG2" s="121"/>
      <c r="PHH2" s="121"/>
      <c r="PHI2" s="121"/>
      <c r="PHJ2" s="121"/>
      <c r="PHK2" s="121"/>
      <c r="PHL2" s="121"/>
      <c r="PHM2" s="121"/>
      <c r="PHN2" s="121"/>
      <c r="PHO2" s="121"/>
      <c r="PHP2" s="121"/>
      <c r="PHQ2" s="121"/>
      <c r="PHR2" s="121"/>
      <c r="PHS2" s="121"/>
      <c r="PHT2" s="121"/>
      <c r="PHU2" s="121"/>
      <c r="PHV2" s="121"/>
      <c r="PHW2" s="121"/>
      <c r="PHX2" s="121"/>
      <c r="PHY2" s="121"/>
      <c r="PHZ2" s="121"/>
      <c r="PIA2" s="121"/>
      <c r="PIB2" s="121"/>
      <c r="PIC2" s="121"/>
      <c r="PID2" s="121"/>
      <c r="PIE2" s="121"/>
      <c r="PIF2" s="121"/>
      <c r="PIG2" s="121"/>
      <c r="PIH2" s="121"/>
      <c r="PII2" s="121"/>
      <c r="PIJ2" s="121"/>
      <c r="PIK2" s="121"/>
      <c r="PIL2" s="121"/>
      <c r="PIM2" s="121"/>
      <c r="PIN2" s="121"/>
      <c r="PIO2" s="121"/>
      <c r="PIP2" s="121"/>
      <c r="PIQ2" s="121"/>
      <c r="PIR2" s="121"/>
      <c r="PIS2" s="121"/>
      <c r="PIT2" s="121"/>
      <c r="PIU2" s="121"/>
      <c r="PIV2" s="121"/>
      <c r="PIW2" s="121"/>
      <c r="PIX2" s="121"/>
      <c r="PIY2" s="121"/>
      <c r="PIZ2" s="121"/>
      <c r="PJA2" s="121"/>
      <c r="PJB2" s="121"/>
      <c r="PJC2" s="121"/>
      <c r="PJD2" s="121"/>
      <c r="PJE2" s="121"/>
      <c r="PJF2" s="121"/>
      <c r="PJG2" s="121"/>
      <c r="PJH2" s="121"/>
      <c r="PJI2" s="121"/>
      <c r="PJJ2" s="121"/>
      <c r="PJK2" s="121"/>
      <c r="PJL2" s="121"/>
      <c r="PJM2" s="121"/>
      <c r="PJN2" s="121"/>
      <c r="PJO2" s="121"/>
      <c r="PJP2" s="121"/>
      <c r="PJQ2" s="121"/>
      <c r="PJR2" s="121"/>
      <c r="PJS2" s="121"/>
      <c r="PJT2" s="121"/>
      <c r="PJU2" s="121"/>
      <c r="PJV2" s="121"/>
      <c r="PJW2" s="121"/>
      <c r="PJX2" s="121"/>
      <c r="PJY2" s="121"/>
      <c r="PJZ2" s="121"/>
      <c r="PKA2" s="121"/>
      <c r="PKB2" s="121"/>
      <c r="PKC2" s="121"/>
      <c r="PKD2" s="121"/>
      <c r="PKE2" s="121"/>
      <c r="PKF2" s="121"/>
      <c r="PKG2" s="121"/>
      <c r="PKH2" s="121"/>
      <c r="PKI2" s="121"/>
      <c r="PKJ2" s="121"/>
      <c r="PKK2" s="121"/>
      <c r="PKL2" s="121"/>
      <c r="PKM2" s="121"/>
      <c r="PKN2" s="121"/>
      <c r="PKO2" s="121"/>
      <c r="PKP2" s="121"/>
      <c r="PKQ2" s="121"/>
      <c r="PKR2" s="121"/>
      <c r="PKS2" s="121"/>
      <c r="PKT2" s="121"/>
      <c r="PKU2" s="121"/>
      <c r="PKV2" s="121"/>
      <c r="PKW2" s="121"/>
      <c r="PKX2" s="121"/>
      <c r="PKY2" s="121"/>
      <c r="PKZ2" s="121"/>
      <c r="PLA2" s="121"/>
      <c r="PLB2" s="121"/>
      <c r="PLC2" s="121"/>
      <c r="PLD2" s="121"/>
      <c r="PLE2" s="121"/>
      <c r="PLF2" s="121"/>
      <c r="PLG2" s="121"/>
      <c r="PLH2" s="121"/>
      <c r="PLI2" s="121"/>
      <c r="PLJ2" s="121"/>
      <c r="PLK2" s="121"/>
      <c r="PLL2" s="121"/>
      <c r="PLM2" s="121"/>
      <c r="PLN2" s="121"/>
      <c r="PLO2" s="121"/>
      <c r="PLP2" s="121"/>
      <c r="PLQ2" s="121"/>
      <c r="PLR2" s="121"/>
      <c r="PLS2" s="121"/>
      <c r="PLT2" s="121"/>
      <c r="PLU2" s="121"/>
      <c r="PLV2" s="121"/>
      <c r="PLW2" s="121"/>
      <c r="PLX2" s="121"/>
      <c r="PLY2" s="121"/>
      <c r="PLZ2" s="121"/>
      <c r="PMA2" s="121"/>
      <c r="PMB2" s="121"/>
      <c r="PMC2" s="121"/>
      <c r="PMD2" s="121"/>
      <c r="PME2" s="121"/>
      <c r="PMF2" s="121"/>
      <c r="PMG2" s="121"/>
      <c r="PMH2" s="121"/>
      <c r="PMI2" s="121"/>
      <c r="PMJ2" s="121"/>
      <c r="PMK2" s="121"/>
      <c r="PML2" s="121"/>
      <c r="PMM2" s="121"/>
      <c r="PMN2" s="121"/>
      <c r="PMO2" s="121"/>
      <c r="PMP2" s="121"/>
      <c r="PMQ2" s="121"/>
      <c r="PMR2" s="121"/>
      <c r="PMS2" s="121"/>
      <c r="PMT2" s="121"/>
      <c r="PMU2" s="121"/>
      <c r="PMV2" s="121"/>
      <c r="PMW2" s="121"/>
      <c r="PMX2" s="121"/>
      <c r="PMY2" s="121"/>
      <c r="PMZ2" s="121"/>
      <c r="PNA2" s="121"/>
      <c r="PNB2" s="121"/>
      <c r="PNC2" s="121"/>
      <c r="PND2" s="121"/>
      <c r="PNE2" s="121"/>
      <c r="PNF2" s="121"/>
      <c r="PNG2" s="121"/>
      <c r="PNH2" s="121"/>
      <c r="PNI2" s="121"/>
      <c r="PNJ2" s="121"/>
      <c r="PNK2" s="121"/>
      <c r="PNL2" s="121"/>
      <c r="PNM2" s="121"/>
      <c r="PNN2" s="121"/>
      <c r="PNO2" s="121"/>
      <c r="PNP2" s="121"/>
      <c r="PNQ2" s="121"/>
      <c r="PNR2" s="121"/>
      <c r="PNS2" s="121"/>
      <c r="PNT2" s="121"/>
      <c r="PNU2" s="121"/>
      <c r="PNV2" s="121"/>
      <c r="PNW2" s="121"/>
      <c r="PNX2" s="121"/>
      <c r="PNY2" s="121"/>
      <c r="PNZ2" s="121"/>
      <c r="POA2" s="121"/>
      <c r="POB2" s="121"/>
      <c r="POC2" s="121"/>
      <c r="POD2" s="121"/>
      <c r="POE2" s="121"/>
      <c r="POF2" s="121"/>
      <c r="POG2" s="121"/>
      <c r="POH2" s="121"/>
      <c r="POI2" s="121"/>
      <c r="POJ2" s="121"/>
      <c r="POK2" s="121"/>
      <c r="POL2" s="121"/>
      <c r="POM2" s="121"/>
      <c r="PON2" s="121"/>
      <c r="POO2" s="121"/>
      <c r="POP2" s="121"/>
      <c r="POQ2" s="121"/>
      <c r="POR2" s="121"/>
      <c r="POS2" s="121"/>
      <c r="POT2" s="121"/>
      <c r="POU2" s="121"/>
      <c r="POV2" s="121"/>
      <c r="POW2" s="121"/>
      <c r="POX2" s="121"/>
      <c r="POY2" s="121"/>
      <c r="POZ2" s="121"/>
      <c r="PPA2" s="121"/>
      <c r="PPB2" s="121"/>
      <c r="PPC2" s="121"/>
      <c r="PPD2" s="121"/>
      <c r="PPE2" s="121"/>
      <c r="PPF2" s="121"/>
      <c r="PPG2" s="121"/>
      <c r="PPH2" s="121"/>
      <c r="PPI2" s="121"/>
      <c r="PPJ2" s="121"/>
      <c r="PPK2" s="121"/>
      <c r="PPL2" s="121"/>
      <c r="PPM2" s="121"/>
      <c r="PPN2" s="121"/>
      <c r="PPO2" s="121"/>
      <c r="PPP2" s="121"/>
      <c r="PPQ2" s="121"/>
      <c r="PPR2" s="121"/>
      <c r="PPS2" s="121"/>
      <c r="PPT2" s="121"/>
      <c r="PPU2" s="121"/>
      <c r="PPV2" s="121"/>
      <c r="PPW2" s="121"/>
      <c r="PPX2" s="121"/>
      <c r="PPY2" s="121"/>
      <c r="PPZ2" s="121"/>
      <c r="PQA2" s="121"/>
      <c r="PQB2" s="121"/>
      <c r="PQC2" s="121"/>
      <c r="PQD2" s="121"/>
      <c r="PQE2" s="121"/>
      <c r="PQF2" s="121"/>
      <c r="PQG2" s="121"/>
      <c r="PQH2" s="121"/>
      <c r="PQI2" s="121"/>
      <c r="PQJ2" s="121"/>
      <c r="PQK2" s="121"/>
      <c r="PQL2" s="121"/>
      <c r="PQM2" s="121"/>
      <c r="PQN2" s="121"/>
      <c r="PQO2" s="121"/>
      <c r="PQP2" s="121"/>
      <c r="PQQ2" s="121"/>
      <c r="PQR2" s="121"/>
      <c r="PQS2" s="121"/>
      <c r="PQT2" s="121"/>
      <c r="PQU2" s="121"/>
      <c r="PQV2" s="121"/>
      <c r="PQW2" s="121"/>
      <c r="PQX2" s="121"/>
      <c r="PQY2" s="121"/>
      <c r="PQZ2" s="121"/>
      <c r="PRA2" s="121"/>
      <c r="PRB2" s="121"/>
      <c r="PRC2" s="121"/>
      <c r="PRD2" s="121"/>
      <c r="PRE2" s="121"/>
      <c r="PRF2" s="121"/>
      <c r="PRG2" s="121"/>
      <c r="PRH2" s="121"/>
      <c r="PRI2" s="121"/>
      <c r="PRJ2" s="121"/>
      <c r="PRK2" s="121"/>
      <c r="PRL2" s="121"/>
      <c r="PRM2" s="121"/>
      <c r="PRN2" s="121"/>
      <c r="PRO2" s="121"/>
      <c r="PRP2" s="121"/>
      <c r="PRQ2" s="121"/>
      <c r="PRR2" s="121"/>
      <c r="PRS2" s="121"/>
      <c r="PRT2" s="121"/>
      <c r="PRU2" s="121"/>
      <c r="PRV2" s="121"/>
      <c r="PRW2" s="121"/>
      <c r="PRX2" s="121"/>
      <c r="PRY2" s="121"/>
      <c r="PRZ2" s="121"/>
      <c r="PSA2" s="121"/>
      <c r="PSB2" s="121"/>
      <c r="PSC2" s="121"/>
      <c r="PSD2" s="121"/>
      <c r="PSE2" s="121"/>
      <c r="PSF2" s="121"/>
      <c r="PSG2" s="121"/>
      <c r="PSH2" s="121"/>
      <c r="PSI2" s="121"/>
      <c r="PSJ2" s="121"/>
      <c r="PSK2" s="121"/>
      <c r="PSL2" s="121"/>
      <c r="PSM2" s="121"/>
      <c r="PSN2" s="121"/>
      <c r="PSO2" s="121"/>
      <c r="PSP2" s="121"/>
      <c r="PSQ2" s="121"/>
      <c r="PSR2" s="121"/>
      <c r="PSS2" s="121"/>
      <c r="PST2" s="121"/>
      <c r="PSU2" s="121"/>
      <c r="PSV2" s="121"/>
      <c r="PSW2" s="121"/>
      <c r="PSX2" s="121"/>
      <c r="PSY2" s="121"/>
      <c r="PSZ2" s="121"/>
      <c r="PTA2" s="121"/>
      <c r="PTB2" s="121"/>
      <c r="PTC2" s="121"/>
      <c r="PTD2" s="121"/>
      <c r="PTE2" s="121"/>
      <c r="PTF2" s="121"/>
      <c r="PTG2" s="121"/>
      <c r="PTH2" s="121"/>
      <c r="PTI2" s="121"/>
      <c r="PTJ2" s="121"/>
      <c r="PTK2" s="121"/>
      <c r="PTL2" s="121"/>
      <c r="PTM2" s="121"/>
      <c r="PTN2" s="121"/>
      <c r="PTO2" s="121"/>
      <c r="PTP2" s="121"/>
      <c r="PTQ2" s="121"/>
      <c r="PTR2" s="121"/>
      <c r="PTS2" s="121"/>
      <c r="PTT2" s="121"/>
      <c r="PTU2" s="121"/>
      <c r="PTV2" s="121"/>
      <c r="PTW2" s="121"/>
      <c r="PTX2" s="121"/>
      <c r="PTY2" s="121"/>
      <c r="PTZ2" s="121"/>
      <c r="PUA2" s="121"/>
      <c r="PUB2" s="121"/>
      <c r="PUC2" s="121"/>
      <c r="PUD2" s="121"/>
      <c r="PUE2" s="121"/>
      <c r="PUF2" s="121"/>
      <c r="PUG2" s="121"/>
      <c r="PUH2" s="121"/>
      <c r="PUI2" s="121"/>
      <c r="PUJ2" s="121"/>
      <c r="PUK2" s="121"/>
      <c r="PUL2" s="121"/>
      <c r="PUM2" s="121"/>
      <c r="PUN2" s="121"/>
      <c r="PUO2" s="121"/>
      <c r="PUP2" s="121"/>
      <c r="PUQ2" s="121"/>
      <c r="PUR2" s="121"/>
      <c r="PUS2" s="121"/>
      <c r="PUT2" s="121"/>
      <c r="PUU2" s="121"/>
      <c r="PUV2" s="121"/>
      <c r="PUW2" s="121"/>
      <c r="PUX2" s="121"/>
      <c r="PUY2" s="121"/>
      <c r="PUZ2" s="121"/>
      <c r="PVA2" s="121"/>
      <c r="PVB2" s="121"/>
      <c r="PVC2" s="121"/>
      <c r="PVD2" s="121"/>
      <c r="PVE2" s="121"/>
      <c r="PVF2" s="121"/>
      <c r="PVG2" s="121"/>
      <c r="PVH2" s="121"/>
      <c r="PVI2" s="121"/>
      <c r="PVJ2" s="121"/>
      <c r="PVK2" s="121"/>
      <c r="PVL2" s="121"/>
      <c r="PVM2" s="121"/>
      <c r="PVN2" s="121"/>
      <c r="PVO2" s="121"/>
      <c r="PVP2" s="121"/>
      <c r="PVQ2" s="121"/>
      <c r="PVR2" s="121"/>
      <c r="PVS2" s="121"/>
      <c r="PVT2" s="121"/>
      <c r="PVU2" s="121"/>
      <c r="PVV2" s="121"/>
      <c r="PVW2" s="121"/>
      <c r="PVX2" s="121"/>
      <c r="PVY2" s="121"/>
      <c r="PVZ2" s="121"/>
      <c r="PWA2" s="121"/>
      <c r="PWB2" s="121"/>
      <c r="PWC2" s="121"/>
      <c r="PWD2" s="121"/>
      <c r="PWE2" s="121"/>
      <c r="PWF2" s="121"/>
      <c r="PWG2" s="121"/>
      <c r="PWH2" s="121"/>
      <c r="PWI2" s="121"/>
      <c r="PWJ2" s="121"/>
      <c r="PWK2" s="121"/>
      <c r="PWL2" s="121"/>
      <c r="PWM2" s="121"/>
      <c r="PWN2" s="121"/>
      <c r="PWO2" s="121"/>
      <c r="PWP2" s="121"/>
      <c r="PWQ2" s="121"/>
      <c r="PWR2" s="121"/>
      <c r="PWS2" s="121"/>
      <c r="PWT2" s="121"/>
      <c r="PWU2" s="121"/>
      <c r="PWV2" s="121"/>
      <c r="PWW2" s="121"/>
      <c r="PWX2" s="121"/>
      <c r="PWY2" s="121"/>
      <c r="PWZ2" s="121"/>
      <c r="PXA2" s="121"/>
      <c r="PXB2" s="121"/>
      <c r="PXC2" s="121"/>
      <c r="PXD2" s="121"/>
      <c r="PXE2" s="121"/>
      <c r="PXF2" s="121"/>
      <c r="PXG2" s="121"/>
      <c r="PXH2" s="121"/>
      <c r="PXI2" s="121"/>
      <c r="PXJ2" s="121"/>
      <c r="PXK2" s="121"/>
      <c r="PXL2" s="121"/>
      <c r="PXM2" s="121"/>
      <c r="PXN2" s="121"/>
      <c r="PXO2" s="121"/>
      <c r="PXP2" s="121"/>
      <c r="PXQ2" s="121"/>
      <c r="PXR2" s="121"/>
      <c r="PXS2" s="121"/>
      <c r="PXT2" s="121"/>
      <c r="PXU2" s="121"/>
      <c r="PXV2" s="121"/>
      <c r="PXW2" s="121"/>
      <c r="PXX2" s="121"/>
      <c r="PXY2" s="121"/>
      <c r="PXZ2" s="121"/>
      <c r="PYA2" s="121"/>
      <c r="PYB2" s="121"/>
      <c r="PYC2" s="121"/>
      <c r="PYD2" s="121"/>
      <c r="PYE2" s="121"/>
      <c r="PYF2" s="121"/>
      <c r="PYG2" s="121"/>
      <c r="PYH2" s="121"/>
      <c r="PYI2" s="121"/>
      <c r="PYJ2" s="121"/>
      <c r="PYK2" s="121"/>
      <c r="PYL2" s="121"/>
      <c r="PYM2" s="121"/>
      <c r="PYN2" s="121"/>
      <c r="PYO2" s="121"/>
      <c r="PYP2" s="121"/>
      <c r="PYQ2" s="121"/>
      <c r="PYR2" s="121"/>
      <c r="PYS2" s="121"/>
      <c r="PYT2" s="121"/>
      <c r="PYU2" s="121"/>
      <c r="PYV2" s="121"/>
      <c r="PYW2" s="121"/>
      <c r="PYX2" s="121"/>
      <c r="PYY2" s="121"/>
      <c r="PYZ2" s="121"/>
      <c r="PZA2" s="121"/>
      <c r="PZB2" s="121"/>
      <c r="PZC2" s="121"/>
      <c r="PZD2" s="121"/>
      <c r="PZE2" s="121"/>
      <c r="PZF2" s="121"/>
      <c r="PZG2" s="121"/>
      <c r="PZH2" s="121"/>
      <c r="PZI2" s="121"/>
      <c r="PZJ2" s="121"/>
      <c r="PZK2" s="121"/>
      <c r="PZL2" s="121"/>
      <c r="PZM2" s="121"/>
      <c r="PZN2" s="121"/>
      <c r="PZO2" s="121"/>
      <c r="PZP2" s="121"/>
      <c r="PZQ2" s="121"/>
      <c r="PZR2" s="121"/>
      <c r="PZS2" s="121"/>
      <c r="PZT2" s="121"/>
      <c r="PZU2" s="121"/>
      <c r="PZV2" s="121"/>
      <c r="PZW2" s="121"/>
      <c r="PZX2" s="121"/>
      <c r="PZY2" s="121"/>
      <c r="PZZ2" s="121"/>
      <c r="QAA2" s="121"/>
      <c r="QAB2" s="121"/>
      <c r="QAC2" s="121"/>
      <c r="QAD2" s="121"/>
      <c r="QAE2" s="121"/>
      <c r="QAF2" s="121"/>
      <c r="QAG2" s="121"/>
      <c r="QAH2" s="121"/>
      <c r="QAI2" s="121"/>
      <c r="QAJ2" s="121"/>
      <c r="QAK2" s="121"/>
      <c r="QAL2" s="121"/>
      <c r="QAM2" s="121"/>
      <c r="QAN2" s="121"/>
      <c r="QAO2" s="121"/>
      <c r="QAP2" s="121"/>
      <c r="QAQ2" s="121"/>
      <c r="QAR2" s="121"/>
      <c r="QAS2" s="121"/>
      <c r="QAT2" s="121"/>
      <c r="QAU2" s="121"/>
      <c r="QAV2" s="121"/>
      <c r="QAW2" s="121"/>
      <c r="QAX2" s="121"/>
      <c r="QAY2" s="121"/>
      <c r="QAZ2" s="121"/>
      <c r="QBA2" s="121"/>
      <c r="QBB2" s="121"/>
      <c r="QBC2" s="121"/>
      <c r="QBD2" s="121"/>
      <c r="QBE2" s="121"/>
      <c r="QBF2" s="121"/>
      <c r="QBG2" s="121"/>
      <c r="QBH2" s="121"/>
      <c r="QBI2" s="121"/>
      <c r="QBJ2" s="121"/>
      <c r="QBK2" s="121"/>
      <c r="QBL2" s="121"/>
      <c r="QBM2" s="121"/>
      <c r="QBN2" s="121"/>
      <c r="QBO2" s="121"/>
      <c r="QBP2" s="121"/>
      <c r="QBQ2" s="121"/>
      <c r="QBR2" s="121"/>
      <c r="QBS2" s="121"/>
      <c r="QBT2" s="121"/>
      <c r="QBU2" s="121"/>
      <c r="QBV2" s="121"/>
      <c r="QBW2" s="121"/>
      <c r="QBX2" s="121"/>
      <c r="QBY2" s="121"/>
      <c r="QBZ2" s="121"/>
      <c r="QCA2" s="121"/>
      <c r="QCB2" s="121"/>
      <c r="QCC2" s="121"/>
      <c r="QCD2" s="121"/>
      <c r="QCE2" s="121"/>
      <c r="QCF2" s="121"/>
      <c r="QCG2" s="121"/>
      <c r="QCH2" s="121"/>
      <c r="QCI2" s="121"/>
      <c r="QCJ2" s="121"/>
      <c r="QCK2" s="121"/>
      <c r="QCL2" s="121"/>
      <c r="QCM2" s="121"/>
      <c r="QCN2" s="121"/>
      <c r="QCO2" s="121"/>
      <c r="QCP2" s="121"/>
      <c r="QCQ2" s="121"/>
      <c r="QCR2" s="121"/>
      <c r="QCS2" s="121"/>
      <c r="QCT2" s="121"/>
      <c r="QCU2" s="121"/>
      <c r="QCV2" s="121"/>
      <c r="QCW2" s="121"/>
      <c r="QCX2" s="121"/>
      <c r="QCY2" s="121"/>
      <c r="QCZ2" s="121"/>
      <c r="QDA2" s="121"/>
      <c r="QDB2" s="121"/>
      <c r="QDC2" s="121"/>
      <c r="QDD2" s="121"/>
      <c r="QDE2" s="121"/>
      <c r="QDF2" s="121"/>
      <c r="QDG2" s="121"/>
      <c r="QDH2" s="121"/>
      <c r="QDI2" s="121"/>
      <c r="QDJ2" s="121"/>
      <c r="QDK2" s="121"/>
      <c r="QDL2" s="121"/>
      <c r="QDM2" s="121"/>
      <c r="QDN2" s="121"/>
      <c r="QDO2" s="121"/>
      <c r="QDP2" s="121"/>
      <c r="QDQ2" s="121"/>
      <c r="QDR2" s="121"/>
      <c r="QDS2" s="121"/>
      <c r="QDT2" s="121"/>
      <c r="QDU2" s="121"/>
      <c r="QDV2" s="121"/>
      <c r="QDW2" s="121"/>
      <c r="QDX2" s="121"/>
      <c r="QDY2" s="121"/>
      <c r="QDZ2" s="121"/>
      <c r="QEA2" s="121"/>
      <c r="QEB2" s="121"/>
      <c r="QEC2" s="121"/>
      <c r="QED2" s="121"/>
      <c r="QEE2" s="121"/>
      <c r="QEF2" s="121"/>
      <c r="QEG2" s="121"/>
      <c r="QEH2" s="121"/>
      <c r="QEI2" s="121"/>
      <c r="QEJ2" s="121"/>
      <c r="QEK2" s="121"/>
      <c r="QEL2" s="121"/>
      <c r="QEM2" s="121"/>
      <c r="QEN2" s="121"/>
      <c r="QEO2" s="121"/>
      <c r="QEP2" s="121"/>
      <c r="QEQ2" s="121"/>
      <c r="QER2" s="121"/>
      <c r="QES2" s="121"/>
      <c r="QET2" s="121"/>
      <c r="QEU2" s="121"/>
      <c r="QEV2" s="121"/>
      <c r="QEW2" s="121"/>
      <c r="QEX2" s="121"/>
      <c r="QEY2" s="121"/>
      <c r="QEZ2" s="121"/>
      <c r="QFA2" s="121"/>
      <c r="QFB2" s="121"/>
      <c r="QFC2" s="121"/>
      <c r="QFD2" s="121"/>
      <c r="QFE2" s="121"/>
      <c r="QFF2" s="121"/>
      <c r="QFG2" s="121"/>
      <c r="QFH2" s="121"/>
      <c r="QFI2" s="121"/>
      <c r="QFJ2" s="121"/>
      <c r="QFK2" s="121"/>
      <c r="QFL2" s="121"/>
      <c r="QFM2" s="121"/>
      <c r="QFN2" s="121"/>
      <c r="QFO2" s="121"/>
      <c r="QFP2" s="121"/>
      <c r="QFQ2" s="121"/>
      <c r="QFR2" s="121"/>
      <c r="QFS2" s="121"/>
      <c r="QFT2" s="121"/>
      <c r="QFU2" s="121"/>
      <c r="QFV2" s="121"/>
      <c r="QFW2" s="121"/>
      <c r="QFX2" s="121"/>
      <c r="QFY2" s="121"/>
      <c r="QFZ2" s="121"/>
      <c r="QGA2" s="121"/>
      <c r="QGB2" s="121"/>
      <c r="QGC2" s="121"/>
      <c r="QGD2" s="121"/>
      <c r="QGE2" s="121"/>
      <c r="QGF2" s="121"/>
      <c r="QGG2" s="121"/>
      <c r="QGH2" s="121"/>
      <c r="QGI2" s="121"/>
      <c r="QGJ2" s="121"/>
      <c r="QGK2" s="121"/>
      <c r="QGL2" s="121"/>
      <c r="QGM2" s="121"/>
      <c r="QGN2" s="121"/>
      <c r="QGO2" s="121"/>
      <c r="QGP2" s="121"/>
      <c r="QGQ2" s="121"/>
      <c r="QGR2" s="121"/>
      <c r="QGS2" s="121"/>
      <c r="QGT2" s="121"/>
      <c r="QGU2" s="121"/>
      <c r="QGV2" s="121"/>
      <c r="QGW2" s="121"/>
      <c r="QGX2" s="121"/>
      <c r="QGY2" s="121"/>
      <c r="QGZ2" s="121"/>
      <c r="QHA2" s="121"/>
      <c r="QHB2" s="121"/>
      <c r="QHC2" s="121"/>
      <c r="QHD2" s="121"/>
      <c r="QHE2" s="121"/>
      <c r="QHF2" s="121"/>
      <c r="QHG2" s="121"/>
      <c r="QHH2" s="121"/>
      <c r="QHI2" s="121"/>
      <c r="QHJ2" s="121"/>
      <c r="QHK2" s="121"/>
      <c r="QHL2" s="121"/>
      <c r="QHM2" s="121"/>
      <c r="QHN2" s="121"/>
      <c r="QHO2" s="121"/>
      <c r="QHP2" s="121"/>
      <c r="QHQ2" s="121"/>
      <c r="QHR2" s="121"/>
      <c r="QHS2" s="121"/>
      <c r="QHT2" s="121"/>
      <c r="QHU2" s="121"/>
      <c r="QHV2" s="121"/>
      <c r="QHW2" s="121"/>
      <c r="QHX2" s="121"/>
      <c r="QHY2" s="121"/>
      <c r="QHZ2" s="121"/>
      <c r="QIA2" s="121"/>
      <c r="QIB2" s="121"/>
      <c r="QIC2" s="121"/>
      <c r="QID2" s="121"/>
      <c r="QIE2" s="121"/>
      <c r="QIF2" s="121"/>
      <c r="QIG2" s="121"/>
      <c r="QIH2" s="121"/>
      <c r="QII2" s="121"/>
      <c r="QIJ2" s="121"/>
      <c r="QIK2" s="121"/>
      <c r="QIL2" s="121"/>
      <c r="QIM2" s="121"/>
      <c r="QIN2" s="121"/>
      <c r="QIO2" s="121"/>
      <c r="QIP2" s="121"/>
      <c r="QIQ2" s="121"/>
      <c r="QIR2" s="121"/>
      <c r="QIS2" s="121"/>
      <c r="QIT2" s="121"/>
      <c r="QIU2" s="121"/>
      <c r="QIV2" s="121"/>
      <c r="QIW2" s="121"/>
      <c r="QIX2" s="121"/>
      <c r="QIY2" s="121"/>
      <c r="QIZ2" s="121"/>
      <c r="QJA2" s="121"/>
      <c r="QJB2" s="121"/>
      <c r="QJC2" s="121"/>
      <c r="QJD2" s="121"/>
      <c r="QJE2" s="121"/>
      <c r="QJF2" s="121"/>
      <c r="QJG2" s="121"/>
      <c r="QJH2" s="121"/>
      <c r="QJI2" s="121"/>
      <c r="QJJ2" s="121"/>
      <c r="QJK2" s="121"/>
      <c r="QJL2" s="121"/>
      <c r="QJM2" s="121"/>
      <c r="QJN2" s="121"/>
      <c r="QJO2" s="121"/>
      <c r="QJP2" s="121"/>
      <c r="QJQ2" s="121"/>
      <c r="QJR2" s="121"/>
      <c r="QJS2" s="121"/>
      <c r="QJT2" s="121"/>
      <c r="QJU2" s="121"/>
      <c r="QJV2" s="121"/>
      <c r="QJW2" s="121"/>
      <c r="QJX2" s="121"/>
      <c r="QJY2" s="121"/>
      <c r="QJZ2" s="121"/>
      <c r="QKA2" s="121"/>
      <c r="QKB2" s="121"/>
      <c r="QKC2" s="121"/>
      <c r="QKD2" s="121"/>
      <c r="QKE2" s="121"/>
      <c r="QKF2" s="121"/>
      <c r="QKG2" s="121"/>
      <c r="QKH2" s="121"/>
      <c r="QKI2" s="121"/>
      <c r="QKJ2" s="121"/>
      <c r="QKK2" s="121"/>
      <c r="QKL2" s="121"/>
      <c r="QKM2" s="121"/>
      <c r="QKN2" s="121"/>
      <c r="QKO2" s="121"/>
      <c r="QKP2" s="121"/>
      <c r="QKQ2" s="121"/>
      <c r="QKR2" s="121"/>
      <c r="QKS2" s="121"/>
      <c r="QKT2" s="121"/>
      <c r="QKU2" s="121"/>
      <c r="QKV2" s="121"/>
      <c r="QKW2" s="121"/>
      <c r="QKX2" s="121"/>
      <c r="QKY2" s="121"/>
      <c r="QKZ2" s="121"/>
      <c r="QLA2" s="121"/>
      <c r="QLB2" s="121"/>
      <c r="QLC2" s="121"/>
      <c r="QLD2" s="121"/>
      <c r="QLE2" s="121"/>
      <c r="QLF2" s="121"/>
      <c r="QLG2" s="121"/>
      <c r="QLH2" s="121"/>
      <c r="QLI2" s="121"/>
      <c r="QLJ2" s="121"/>
      <c r="QLK2" s="121"/>
      <c r="QLL2" s="121"/>
      <c r="QLM2" s="121"/>
      <c r="QLN2" s="121"/>
      <c r="QLO2" s="121"/>
      <c r="QLP2" s="121"/>
      <c r="QLQ2" s="121"/>
      <c r="QLR2" s="121"/>
      <c r="QLS2" s="121"/>
      <c r="QLT2" s="121"/>
      <c r="QLU2" s="121"/>
      <c r="QLV2" s="121"/>
      <c r="QLW2" s="121"/>
      <c r="QLX2" s="121"/>
      <c r="QLY2" s="121"/>
      <c r="QLZ2" s="121"/>
      <c r="QMA2" s="121"/>
      <c r="QMB2" s="121"/>
      <c r="QMC2" s="121"/>
      <c r="QMD2" s="121"/>
      <c r="QME2" s="121"/>
      <c r="QMF2" s="121"/>
      <c r="QMG2" s="121"/>
      <c r="QMH2" s="121"/>
      <c r="QMI2" s="121"/>
      <c r="QMJ2" s="121"/>
      <c r="QMK2" s="121"/>
      <c r="QML2" s="121"/>
      <c r="QMM2" s="121"/>
      <c r="QMN2" s="121"/>
      <c r="QMO2" s="121"/>
      <c r="QMP2" s="121"/>
      <c r="QMQ2" s="121"/>
      <c r="QMR2" s="121"/>
      <c r="QMS2" s="121"/>
      <c r="QMT2" s="121"/>
      <c r="QMU2" s="121"/>
      <c r="QMV2" s="121"/>
      <c r="QMW2" s="121"/>
      <c r="QMX2" s="121"/>
      <c r="QMY2" s="121"/>
      <c r="QMZ2" s="121"/>
      <c r="QNA2" s="121"/>
      <c r="QNB2" s="121"/>
      <c r="QNC2" s="121"/>
      <c r="QND2" s="121"/>
      <c r="QNE2" s="121"/>
      <c r="QNF2" s="121"/>
      <c r="QNG2" s="121"/>
      <c r="QNH2" s="121"/>
      <c r="QNI2" s="121"/>
      <c r="QNJ2" s="121"/>
      <c r="QNK2" s="121"/>
      <c r="QNL2" s="121"/>
      <c r="QNM2" s="121"/>
      <c r="QNN2" s="121"/>
      <c r="QNO2" s="121"/>
      <c r="QNP2" s="121"/>
      <c r="QNQ2" s="121"/>
      <c r="QNR2" s="121"/>
      <c r="QNS2" s="121"/>
      <c r="QNT2" s="121"/>
      <c r="QNU2" s="121"/>
      <c r="QNV2" s="121"/>
      <c r="QNW2" s="121"/>
      <c r="QNX2" s="121"/>
      <c r="QNY2" s="121"/>
      <c r="QNZ2" s="121"/>
      <c r="QOA2" s="121"/>
      <c r="QOB2" s="121"/>
      <c r="QOC2" s="121"/>
      <c r="QOD2" s="121"/>
      <c r="QOE2" s="121"/>
      <c r="QOF2" s="121"/>
      <c r="QOG2" s="121"/>
      <c r="QOH2" s="121"/>
      <c r="QOI2" s="121"/>
      <c r="QOJ2" s="121"/>
      <c r="QOK2" s="121"/>
      <c r="QOL2" s="121"/>
      <c r="QOM2" s="121"/>
      <c r="QON2" s="121"/>
      <c r="QOO2" s="121"/>
      <c r="QOP2" s="121"/>
      <c r="QOQ2" s="121"/>
      <c r="QOR2" s="121"/>
      <c r="QOS2" s="121"/>
      <c r="QOT2" s="121"/>
      <c r="QOU2" s="121"/>
      <c r="QOV2" s="121"/>
      <c r="QOW2" s="121"/>
      <c r="QOX2" s="121"/>
      <c r="QOY2" s="121"/>
      <c r="QOZ2" s="121"/>
      <c r="QPA2" s="121"/>
      <c r="QPB2" s="121"/>
      <c r="QPC2" s="121"/>
      <c r="QPD2" s="121"/>
      <c r="QPE2" s="121"/>
      <c r="QPF2" s="121"/>
      <c r="QPG2" s="121"/>
      <c r="QPH2" s="121"/>
      <c r="QPI2" s="121"/>
      <c r="QPJ2" s="121"/>
      <c r="QPK2" s="121"/>
      <c r="QPL2" s="121"/>
      <c r="QPM2" s="121"/>
      <c r="QPN2" s="121"/>
      <c r="QPO2" s="121"/>
      <c r="QPP2" s="121"/>
      <c r="QPQ2" s="121"/>
      <c r="QPR2" s="121"/>
      <c r="QPS2" s="121"/>
      <c r="QPT2" s="121"/>
      <c r="QPU2" s="121"/>
      <c r="QPV2" s="121"/>
      <c r="QPW2" s="121"/>
      <c r="QPX2" s="121"/>
      <c r="QPY2" s="121"/>
      <c r="QPZ2" s="121"/>
      <c r="QQA2" s="121"/>
      <c r="QQB2" s="121"/>
      <c r="QQC2" s="121"/>
      <c r="QQD2" s="121"/>
      <c r="QQE2" s="121"/>
      <c r="QQF2" s="121"/>
      <c r="QQG2" s="121"/>
      <c r="QQH2" s="121"/>
      <c r="QQI2" s="121"/>
      <c r="QQJ2" s="121"/>
      <c r="QQK2" s="121"/>
      <c r="QQL2" s="121"/>
      <c r="QQM2" s="121"/>
      <c r="QQN2" s="121"/>
      <c r="QQO2" s="121"/>
      <c r="QQP2" s="121"/>
      <c r="QQQ2" s="121"/>
      <c r="QQR2" s="121"/>
      <c r="QQS2" s="121"/>
      <c r="QQT2" s="121"/>
      <c r="QQU2" s="121"/>
      <c r="QQV2" s="121"/>
      <c r="QQW2" s="121"/>
      <c r="QQX2" s="121"/>
      <c r="QQY2" s="121"/>
      <c r="QQZ2" s="121"/>
      <c r="QRA2" s="121"/>
      <c r="QRB2" s="121"/>
      <c r="QRC2" s="121"/>
      <c r="QRD2" s="121"/>
      <c r="QRE2" s="121"/>
      <c r="QRF2" s="121"/>
      <c r="QRG2" s="121"/>
      <c r="QRH2" s="121"/>
      <c r="QRI2" s="121"/>
      <c r="QRJ2" s="121"/>
      <c r="QRK2" s="121"/>
      <c r="QRL2" s="121"/>
      <c r="QRM2" s="121"/>
      <c r="QRN2" s="121"/>
      <c r="QRO2" s="121"/>
      <c r="QRP2" s="121"/>
      <c r="QRQ2" s="121"/>
      <c r="QRR2" s="121"/>
      <c r="QRS2" s="121"/>
      <c r="QRT2" s="121"/>
      <c r="QRU2" s="121"/>
      <c r="QRV2" s="121"/>
      <c r="QRW2" s="121"/>
      <c r="QRX2" s="121"/>
      <c r="QRY2" s="121"/>
      <c r="QRZ2" s="121"/>
      <c r="QSA2" s="121"/>
      <c r="QSB2" s="121"/>
      <c r="QSC2" s="121"/>
      <c r="QSD2" s="121"/>
      <c r="QSE2" s="121"/>
      <c r="QSF2" s="121"/>
      <c r="QSG2" s="121"/>
      <c r="QSH2" s="121"/>
      <c r="QSI2" s="121"/>
      <c r="QSJ2" s="121"/>
      <c r="QSK2" s="121"/>
      <c r="QSL2" s="121"/>
      <c r="QSM2" s="121"/>
      <c r="QSN2" s="121"/>
      <c r="QSO2" s="121"/>
      <c r="QSP2" s="121"/>
      <c r="QSQ2" s="121"/>
      <c r="QSR2" s="121"/>
      <c r="QSS2" s="121"/>
      <c r="QST2" s="121"/>
      <c r="QSU2" s="121"/>
      <c r="QSV2" s="121"/>
      <c r="QSW2" s="121"/>
      <c r="QSX2" s="121"/>
      <c r="QSY2" s="121"/>
      <c r="QSZ2" s="121"/>
      <c r="QTA2" s="121"/>
      <c r="QTB2" s="121"/>
      <c r="QTC2" s="121"/>
      <c r="QTD2" s="121"/>
      <c r="QTE2" s="121"/>
      <c r="QTF2" s="121"/>
      <c r="QTG2" s="121"/>
      <c r="QTH2" s="121"/>
      <c r="QTI2" s="121"/>
      <c r="QTJ2" s="121"/>
      <c r="QTK2" s="121"/>
      <c r="QTL2" s="121"/>
      <c r="QTM2" s="121"/>
      <c r="QTN2" s="121"/>
      <c r="QTO2" s="121"/>
      <c r="QTP2" s="121"/>
      <c r="QTQ2" s="121"/>
      <c r="QTR2" s="121"/>
      <c r="QTS2" s="121"/>
      <c r="QTT2" s="121"/>
      <c r="QTU2" s="121"/>
      <c r="QTV2" s="121"/>
      <c r="QTW2" s="121"/>
      <c r="QTX2" s="121"/>
      <c r="QTY2" s="121"/>
      <c r="QTZ2" s="121"/>
      <c r="QUA2" s="121"/>
      <c r="QUB2" s="121"/>
      <c r="QUC2" s="121"/>
      <c r="QUD2" s="121"/>
      <c r="QUE2" s="121"/>
      <c r="QUF2" s="121"/>
      <c r="QUG2" s="121"/>
      <c r="QUH2" s="121"/>
      <c r="QUI2" s="121"/>
      <c r="QUJ2" s="121"/>
      <c r="QUK2" s="121"/>
      <c r="QUL2" s="121"/>
      <c r="QUM2" s="121"/>
      <c r="QUN2" s="121"/>
      <c r="QUO2" s="121"/>
      <c r="QUP2" s="121"/>
      <c r="QUQ2" s="121"/>
      <c r="QUR2" s="121"/>
      <c r="QUS2" s="121"/>
      <c r="QUT2" s="121"/>
      <c r="QUU2" s="121"/>
      <c r="QUV2" s="121"/>
      <c r="QUW2" s="121"/>
      <c r="QUX2" s="121"/>
      <c r="QUY2" s="121"/>
      <c r="QUZ2" s="121"/>
      <c r="QVA2" s="121"/>
      <c r="QVB2" s="121"/>
      <c r="QVC2" s="121"/>
      <c r="QVD2" s="121"/>
      <c r="QVE2" s="121"/>
      <c r="QVF2" s="121"/>
      <c r="QVG2" s="121"/>
      <c r="QVH2" s="121"/>
      <c r="QVI2" s="121"/>
      <c r="QVJ2" s="121"/>
      <c r="QVK2" s="121"/>
      <c r="QVL2" s="121"/>
      <c r="QVM2" s="121"/>
      <c r="QVN2" s="121"/>
      <c r="QVO2" s="121"/>
      <c r="QVP2" s="121"/>
      <c r="QVQ2" s="121"/>
      <c r="QVR2" s="121"/>
      <c r="QVS2" s="121"/>
      <c r="QVT2" s="121"/>
      <c r="QVU2" s="121"/>
      <c r="QVV2" s="121"/>
      <c r="QVW2" s="121"/>
      <c r="QVX2" s="121"/>
      <c r="QVY2" s="121"/>
      <c r="QVZ2" s="121"/>
      <c r="QWA2" s="121"/>
      <c r="QWB2" s="121"/>
      <c r="QWC2" s="121"/>
      <c r="QWD2" s="121"/>
      <c r="QWE2" s="121"/>
      <c r="QWF2" s="121"/>
      <c r="QWG2" s="121"/>
      <c r="QWH2" s="121"/>
      <c r="QWI2" s="121"/>
      <c r="QWJ2" s="121"/>
      <c r="QWK2" s="121"/>
      <c r="QWL2" s="121"/>
      <c r="QWM2" s="121"/>
      <c r="QWN2" s="121"/>
      <c r="QWO2" s="121"/>
      <c r="QWP2" s="121"/>
      <c r="QWQ2" s="121"/>
      <c r="QWR2" s="121"/>
      <c r="QWS2" s="121"/>
      <c r="QWT2" s="121"/>
      <c r="QWU2" s="121"/>
      <c r="QWV2" s="121"/>
      <c r="QWW2" s="121"/>
      <c r="QWX2" s="121"/>
      <c r="QWY2" s="121"/>
      <c r="QWZ2" s="121"/>
      <c r="QXA2" s="121"/>
      <c r="QXB2" s="121"/>
      <c r="QXC2" s="121"/>
      <c r="QXD2" s="121"/>
      <c r="QXE2" s="121"/>
      <c r="QXF2" s="121"/>
      <c r="QXG2" s="121"/>
      <c r="QXH2" s="121"/>
      <c r="QXI2" s="121"/>
      <c r="QXJ2" s="121"/>
      <c r="QXK2" s="121"/>
      <c r="QXL2" s="121"/>
      <c r="QXM2" s="121"/>
      <c r="QXN2" s="121"/>
      <c r="QXO2" s="121"/>
      <c r="QXP2" s="121"/>
      <c r="QXQ2" s="121"/>
      <c r="QXR2" s="121"/>
      <c r="QXS2" s="121"/>
      <c r="QXT2" s="121"/>
      <c r="QXU2" s="121"/>
      <c r="QXV2" s="121"/>
      <c r="QXW2" s="121"/>
      <c r="QXX2" s="121"/>
      <c r="QXY2" s="121"/>
      <c r="QXZ2" s="121"/>
      <c r="QYA2" s="121"/>
      <c r="QYB2" s="121"/>
      <c r="QYC2" s="121"/>
      <c r="QYD2" s="121"/>
      <c r="QYE2" s="121"/>
      <c r="QYF2" s="121"/>
      <c r="QYG2" s="121"/>
      <c r="QYH2" s="121"/>
      <c r="QYI2" s="121"/>
      <c r="QYJ2" s="121"/>
      <c r="QYK2" s="121"/>
      <c r="QYL2" s="121"/>
      <c r="QYM2" s="121"/>
      <c r="QYN2" s="121"/>
      <c r="QYO2" s="121"/>
      <c r="QYP2" s="121"/>
      <c r="QYQ2" s="121"/>
      <c r="QYR2" s="121"/>
      <c r="QYS2" s="121"/>
      <c r="QYT2" s="121"/>
      <c r="QYU2" s="121"/>
      <c r="QYV2" s="121"/>
      <c r="QYW2" s="121"/>
      <c r="QYX2" s="121"/>
      <c r="QYY2" s="121"/>
      <c r="QYZ2" s="121"/>
      <c r="QZA2" s="121"/>
      <c r="QZB2" s="121"/>
      <c r="QZC2" s="121"/>
      <c r="QZD2" s="121"/>
      <c r="QZE2" s="121"/>
      <c r="QZF2" s="121"/>
      <c r="QZG2" s="121"/>
      <c r="QZH2" s="121"/>
      <c r="QZI2" s="121"/>
      <c r="QZJ2" s="121"/>
      <c r="QZK2" s="121"/>
      <c r="QZL2" s="121"/>
      <c r="QZM2" s="121"/>
      <c r="QZN2" s="121"/>
      <c r="QZO2" s="121"/>
      <c r="QZP2" s="121"/>
      <c r="QZQ2" s="121"/>
      <c r="QZR2" s="121"/>
      <c r="QZS2" s="121"/>
      <c r="QZT2" s="121"/>
      <c r="QZU2" s="121"/>
      <c r="QZV2" s="121"/>
      <c r="QZW2" s="121"/>
      <c r="QZX2" s="121"/>
      <c r="QZY2" s="121"/>
      <c r="QZZ2" s="121"/>
      <c r="RAA2" s="121"/>
      <c r="RAB2" s="121"/>
      <c r="RAC2" s="121"/>
      <c r="RAD2" s="121"/>
      <c r="RAE2" s="121"/>
      <c r="RAF2" s="121"/>
      <c r="RAG2" s="121"/>
      <c r="RAH2" s="121"/>
      <c r="RAI2" s="121"/>
      <c r="RAJ2" s="121"/>
      <c r="RAK2" s="121"/>
      <c r="RAL2" s="121"/>
      <c r="RAM2" s="121"/>
      <c r="RAN2" s="121"/>
      <c r="RAO2" s="121"/>
      <c r="RAP2" s="121"/>
      <c r="RAQ2" s="121"/>
      <c r="RAR2" s="121"/>
      <c r="RAS2" s="121"/>
      <c r="RAT2" s="121"/>
      <c r="RAU2" s="121"/>
      <c r="RAV2" s="121"/>
      <c r="RAW2" s="121"/>
      <c r="RAX2" s="121"/>
      <c r="RAY2" s="121"/>
      <c r="RAZ2" s="121"/>
      <c r="RBA2" s="121"/>
      <c r="RBB2" s="121"/>
      <c r="RBC2" s="121"/>
      <c r="RBD2" s="121"/>
      <c r="RBE2" s="121"/>
      <c r="RBF2" s="121"/>
      <c r="RBG2" s="121"/>
      <c r="RBH2" s="121"/>
      <c r="RBI2" s="121"/>
      <c r="RBJ2" s="121"/>
      <c r="RBK2" s="121"/>
      <c r="RBL2" s="121"/>
      <c r="RBM2" s="121"/>
      <c r="RBN2" s="121"/>
      <c r="RBO2" s="121"/>
      <c r="RBP2" s="121"/>
      <c r="RBQ2" s="121"/>
      <c r="RBR2" s="121"/>
      <c r="RBS2" s="121"/>
      <c r="RBT2" s="121"/>
      <c r="RBU2" s="121"/>
      <c r="RBV2" s="121"/>
      <c r="RBW2" s="121"/>
      <c r="RBX2" s="121"/>
      <c r="RBY2" s="121"/>
      <c r="RBZ2" s="121"/>
      <c r="RCA2" s="121"/>
      <c r="RCB2" s="121"/>
      <c r="RCC2" s="121"/>
      <c r="RCD2" s="121"/>
      <c r="RCE2" s="121"/>
      <c r="RCF2" s="121"/>
      <c r="RCG2" s="121"/>
      <c r="RCH2" s="121"/>
      <c r="RCI2" s="121"/>
      <c r="RCJ2" s="121"/>
      <c r="RCK2" s="121"/>
      <c r="RCL2" s="121"/>
      <c r="RCM2" s="121"/>
      <c r="RCN2" s="121"/>
      <c r="RCO2" s="121"/>
      <c r="RCP2" s="121"/>
      <c r="RCQ2" s="121"/>
      <c r="RCR2" s="121"/>
      <c r="RCS2" s="121"/>
      <c r="RCT2" s="121"/>
      <c r="RCU2" s="121"/>
      <c r="RCV2" s="121"/>
      <c r="RCW2" s="121"/>
      <c r="RCX2" s="121"/>
      <c r="RCY2" s="121"/>
      <c r="RCZ2" s="121"/>
      <c r="RDA2" s="121"/>
      <c r="RDB2" s="121"/>
      <c r="RDC2" s="121"/>
      <c r="RDD2" s="121"/>
      <c r="RDE2" s="121"/>
      <c r="RDF2" s="121"/>
      <c r="RDG2" s="121"/>
      <c r="RDH2" s="121"/>
      <c r="RDI2" s="121"/>
      <c r="RDJ2" s="121"/>
      <c r="RDK2" s="121"/>
      <c r="RDL2" s="121"/>
      <c r="RDM2" s="121"/>
      <c r="RDN2" s="121"/>
      <c r="RDO2" s="121"/>
      <c r="RDP2" s="121"/>
      <c r="RDQ2" s="121"/>
      <c r="RDR2" s="121"/>
      <c r="RDS2" s="121"/>
      <c r="RDT2" s="121"/>
      <c r="RDU2" s="121"/>
      <c r="RDV2" s="121"/>
      <c r="RDW2" s="121"/>
      <c r="RDX2" s="121"/>
      <c r="RDY2" s="121"/>
      <c r="RDZ2" s="121"/>
      <c r="REA2" s="121"/>
      <c r="REB2" s="121"/>
      <c r="REC2" s="121"/>
      <c r="RED2" s="121"/>
      <c r="REE2" s="121"/>
      <c r="REF2" s="121"/>
      <c r="REG2" s="121"/>
      <c r="REH2" s="121"/>
      <c r="REI2" s="121"/>
      <c r="REJ2" s="121"/>
      <c r="REK2" s="121"/>
      <c r="REL2" s="121"/>
      <c r="REM2" s="121"/>
      <c r="REN2" s="121"/>
      <c r="REO2" s="121"/>
      <c r="REP2" s="121"/>
      <c r="REQ2" s="121"/>
      <c r="RER2" s="121"/>
      <c r="RES2" s="121"/>
      <c r="RET2" s="121"/>
      <c r="REU2" s="121"/>
      <c r="REV2" s="121"/>
      <c r="REW2" s="121"/>
      <c r="REX2" s="121"/>
      <c r="REY2" s="121"/>
      <c r="REZ2" s="121"/>
      <c r="RFA2" s="121"/>
      <c r="RFB2" s="121"/>
      <c r="RFC2" s="121"/>
      <c r="RFD2" s="121"/>
      <c r="RFE2" s="121"/>
      <c r="RFF2" s="121"/>
      <c r="RFG2" s="121"/>
      <c r="RFH2" s="121"/>
      <c r="RFI2" s="121"/>
      <c r="RFJ2" s="121"/>
      <c r="RFK2" s="121"/>
      <c r="RFL2" s="121"/>
      <c r="RFM2" s="121"/>
      <c r="RFN2" s="121"/>
      <c r="RFO2" s="121"/>
      <c r="RFP2" s="121"/>
      <c r="RFQ2" s="121"/>
      <c r="RFR2" s="121"/>
      <c r="RFS2" s="121"/>
      <c r="RFT2" s="121"/>
      <c r="RFU2" s="121"/>
      <c r="RFV2" s="121"/>
      <c r="RFW2" s="121"/>
      <c r="RFX2" s="121"/>
      <c r="RFY2" s="121"/>
      <c r="RFZ2" s="121"/>
      <c r="RGA2" s="121"/>
      <c r="RGB2" s="121"/>
      <c r="RGC2" s="121"/>
      <c r="RGD2" s="121"/>
      <c r="RGE2" s="121"/>
      <c r="RGF2" s="121"/>
      <c r="RGG2" s="121"/>
      <c r="RGH2" s="121"/>
      <c r="RGI2" s="121"/>
      <c r="RGJ2" s="121"/>
      <c r="RGK2" s="121"/>
      <c r="RGL2" s="121"/>
      <c r="RGM2" s="121"/>
      <c r="RGN2" s="121"/>
      <c r="RGO2" s="121"/>
      <c r="RGP2" s="121"/>
      <c r="RGQ2" s="121"/>
      <c r="RGR2" s="121"/>
      <c r="RGS2" s="121"/>
      <c r="RGT2" s="121"/>
      <c r="RGU2" s="121"/>
      <c r="RGV2" s="121"/>
      <c r="RGW2" s="121"/>
      <c r="RGX2" s="121"/>
      <c r="RGY2" s="121"/>
      <c r="RGZ2" s="121"/>
      <c r="RHA2" s="121"/>
      <c r="RHB2" s="121"/>
      <c r="RHC2" s="121"/>
      <c r="RHD2" s="121"/>
      <c r="RHE2" s="121"/>
      <c r="RHF2" s="121"/>
      <c r="RHG2" s="121"/>
      <c r="RHH2" s="121"/>
      <c r="RHI2" s="121"/>
      <c r="RHJ2" s="121"/>
      <c r="RHK2" s="121"/>
      <c r="RHL2" s="121"/>
      <c r="RHM2" s="121"/>
      <c r="RHN2" s="121"/>
      <c r="RHO2" s="121"/>
      <c r="RHP2" s="121"/>
      <c r="RHQ2" s="121"/>
      <c r="RHR2" s="121"/>
      <c r="RHS2" s="121"/>
      <c r="RHT2" s="121"/>
      <c r="RHU2" s="121"/>
      <c r="RHV2" s="121"/>
      <c r="RHW2" s="121"/>
      <c r="RHX2" s="121"/>
      <c r="RHY2" s="121"/>
      <c r="RHZ2" s="121"/>
      <c r="RIA2" s="121"/>
      <c r="RIB2" s="121"/>
      <c r="RIC2" s="121"/>
      <c r="RID2" s="121"/>
      <c r="RIE2" s="121"/>
      <c r="RIF2" s="121"/>
      <c r="RIG2" s="121"/>
      <c r="RIH2" s="121"/>
      <c r="RII2" s="121"/>
      <c r="RIJ2" s="121"/>
      <c r="RIK2" s="121"/>
      <c r="RIL2" s="121"/>
      <c r="RIM2" s="121"/>
      <c r="RIN2" s="121"/>
      <c r="RIO2" s="121"/>
      <c r="RIP2" s="121"/>
      <c r="RIQ2" s="121"/>
      <c r="RIR2" s="121"/>
      <c r="RIS2" s="121"/>
      <c r="RIT2" s="121"/>
      <c r="RIU2" s="121"/>
      <c r="RIV2" s="121"/>
      <c r="RIW2" s="121"/>
      <c r="RIX2" s="121"/>
      <c r="RIY2" s="121"/>
      <c r="RIZ2" s="121"/>
      <c r="RJA2" s="121"/>
      <c r="RJB2" s="121"/>
      <c r="RJC2" s="121"/>
      <c r="RJD2" s="121"/>
      <c r="RJE2" s="121"/>
      <c r="RJF2" s="121"/>
      <c r="RJG2" s="121"/>
      <c r="RJH2" s="121"/>
      <c r="RJI2" s="121"/>
      <c r="RJJ2" s="121"/>
      <c r="RJK2" s="121"/>
      <c r="RJL2" s="121"/>
      <c r="RJM2" s="121"/>
      <c r="RJN2" s="121"/>
      <c r="RJO2" s="121"/>
      <c r="RJP2" s="121"/>
      <c r="RJQ2" s="121"/>
      <c r="RJR2" s="121"/>
      <c r="RJS2" s="121"/>
      <c r="RJT2" s="121"/>
      <c r="RJU2" s="121"/>
      <c r="RJV2" s="121"/>
      <c r="RJW2" s="121"/>
      <c r="RJX2" s="121"/>
      <c r="RJY2" s="121"/>
      <c r="RJZ2" s="121"/>
      <c r="RKA2" s="121"/>
      <c r="RKB2" s="121"/>
      <c r="RKC2" s="121"/>
      <c r="RKD2" s="121"/>
      <c r="RKE2" s="121"/>
      <c r="RKF2" s="121"/>
      <c r="RKG2" s="121"/>
      <c r="RKH2" s="121"/>
      <c r="RKI2" s="121"/>
      <c r="RKJ2" s="121"/>
      <c r="RKK2" s="121"/>
      <c r="RKL2" s="121"/>
      <c r="RKM2" s="121"/>
      <c r="RKN2" s="121"/>
      <c r="RKO2" s="121"/>
      <c r="RKP2" s="121"/>
      <c r="RKQ2" s="121"/>
      <c r="RKR2" s="121"/>
      <c r="RKS2" s="121"/>
      <c r="RKT2" s="121"/>
      <c r="RKU2" s="121"/>
      <c r="RKV2" s="121"/>
      <c r="RKW2" s="121"/>
      <c r="RKX2" s="121"/>
      <c r="RKY2" s="121"/>
      <c r="RKZ2" s="121"/>
      <c r="RLA2" s="121"/>
      <c r="RLB2" s="121"/>
      <c r="RLC2" s="121"/>
      <c r="RLD2" s="121"/>
      <c r="RLE2" s="121"/>
      <c r="RLF2" s="121"/>
      <c r="RLG2" s="121"/>
      <c r="RLH2" s="121"/>
      <c r="RLI2" s="121"/>
      <c r="RLJ2" s="121"/>
      <c r="RLK2" s="121"/>
      <c r="RLL2" s="121"/>
      <c r="RLM2" s="121"/>
      <c r="RLN2" s="121"/>
      <c r="RLO2" s="121"/>
      <c r="RLP2" s="121"/>
      <c r="RLQ2" s="121"/>
      <c r="RLR2" s="121"/>
      <c r="RLS2" s="121"/>
      <c r="RLT2" s="121"/>
      <c r="RLU2" s="121"/>
      <c r="RLV2" s="121"/>
      <c r="RLW2" s="121"/>
      <c r="RLX2" s="121"/>
      <c r="RLY2" s="121"/>
      <c r="RLZ2" s="121"/>
      <c r="RMA2" s="121"/>
      <c r="RMB2" s="121"/>
      <c r="RMC2" s="121"/>
      <c r="RMD2" s="121"/>
      <c r="RME2" s="121"/>
      <c r="RMF2" s="121"/>
      <c r="RMG2" s="121"/>
      <c r="RMH2" s="121"/>
      <c r="RMI2" s="121"/>
      <c r="RMJ2" s="121"/>
      <c r="RMK2" s="121"/>
      <c r="RML2" s="121"/>
      <c r="RMM2" s="121"/>
      <c r="RMN2" s="121"/>
      <c r="RMO2" s="121"/>
      <c r="RMP2" s="121"/>
      <c r="RMQ2" s="121"/>
      <c r="RMR2" s="121"/>
      <c r="RMS2" s="121"/>
      <c r="RMT2" s="121"/>
      <c r="RMU2" s="121"/>
      <c r="RMV2" s="121"/>
      <c r="RMW2" s="121"/>
      <c r="RMX2" s="121"/>
      <c r="RMY2" s="121"/>
      <c r="RMZ2" s="121"/>
      <c r="RNA2" s="121"/>
      <c r="RNB2" s="121"/>
      <c r="RNC2" s="121"/>
      <c r="RND2" s="121"/>
      <c r="RNE2" s="121"/>
      <c r="RNF2" s="121"/>
      <c r="RNG2" s="121"/>
      <c r="RNH2" s="121"/>
      <c r="RNI2" s="121"/>
      <c r="RNJ2" s="121"/>
      <c r="RNK2" s="121"/>
      <c r="RNL2" s="121"/>
      <c r="RNM2" s="121"/>
      <c r="RNN2" s="121"/>
      <c r="RNO2" s="121"/>
      <c r="RNP2" s="121"/>
      <c r="RNQ2" s="121"/>
      <c r="RNR2" s="121"/>
      <c r="RNS2" s="121"/>
      <c r="RNT2" s="121"/>
      <c r="RNU2" s="121"/>
      <c r="RNV2" s="121"/>
      <c r="RNW2" s="121"/>
      <c r="RNX2" s="121"/>
      <c r="RNY2" s="121"/>
      <c r="RNZ2" s="121"/>
      <c r="ROA2" s="121"/>
      <c r="ROB2" s="121"/>
      <c r="ROC2" s="121"/>
      <c r="ROD2" s="121"/>
      <c r="ROE2" s="121"/>
      <c r="ROF2" s="121"/>
      <c r="ROG2" s="121"/>
      <c r="ROH2" s="121"/>
      <c r="ROI2" s="121"/>
      <c r="ROJ2" s="121"/>
      <c r="ROK2" s="121"/>
      <c r="ROL2" s="121"/>
      <c r="ROM2" s="121"/>
      <c r="RON2" s="121"/>
      <c r="ROO2" s="121"/>
      <c r="ROP2" s="121"/>
      <c r="ROQ2" s="121"/>
      <c r="ROR2" s="121"/>
      <c r="ROS2" s="121"/>
      <c r="ROT2" s="121"/>
      <c r="ROU2" s="121"/>
      <c r="ROV2" s="121"/>
      <c r="ROW2" s="121"/>
      <c r="ROX2" s="121"/>
      <c r="ROY2" s="121"/>
      <c r="ROZ2" s="121"/>
      <c r="RPA2" s="121"/>
      <c r="RPB2" s="121"/>
      <c r="RPC2" s="121"/>
      <c r="RPD2" s="121"/>
      <c r="RPE2" s="121"/>
      <c r="RPF2" s="121"/>
      <c r="RPG2" s="121"/>
      <c r="RPH2" s="121"/>
      <c r="RPI2" s="121"/>
      <c r="RPJ2" s="121"/>
      <c r="RPK2" s="121"/>
      <c r="RPL2" s="121"/>
      <c r="RPM2" s="121"/>
      <c r="RPN2" s="121"/>
      <c r="RPO2" s="121"/>
      <c r="RPP2" s="121"/>
      <c r="RPQ2" s="121"/>
      <c r="RPR2" s="121"/>
      <c r="RPS2" s="121"/>
      <c r="RPT2" s="121"/>
      <c r="RPU2" s="121"/>
      <c r="RPV2" s="121"/>
      <c r="RPW2" s="121"/>
      <c r="RPX2" s="121"/>
      <c r="RPY2" s="121"/>
      <c r="RPZ2" s="121"/>
      <c r="RQA2" s="121"/>
      <c r="RQB2" s="121"/>
      <c r="RQC2" s="121"/>
      <c r="RQD2" s="121"/>
      <c r="RQE2" s="121"/>
      <c r="RQF2" s="121"/>
      <c r="RQG2" s="121"/>
      <c r="RQH2" s="121"/>
      <c r="RQI2" s="121"/>
      <c r="RQJ2" s="121"/>
      <c r="RQK2" s="121"/>
      <c r="RQL2" s="121"/>
      <c r="RQM2" s="121"/>
      <c r="RQN2" s="121"/>
      <c r="RQO2" s="121"/>
      <c r="RQP2" s="121"/>
      <c r="RQQ2" s="121"/>
      <c r="RQR2" s="121"/>
      <c r="RQS2" s="121"/>
      <c r="RQT2" s="121"/>
      <c r="RQU2" s="121"/>
      <c r="RQV2" s="121"/>
      <c r="RQW2" s="121"/>
      <c r="RQX2" s="121"/>
      <c r="RQY2" s="121"/>
      <c r="RQZ2" s="121"/>
      <c r="RRA2" s="121"/>
      <c r="RRB2" s="121"/>
      <c r="RRC2" s="121"/>
      <c r="RRD2" s="121"/>
      <c r="RRE2" s="121"/>
      <c r="RRF2" s="121"/>
      <c r="RRG2" s="121"/>
      <c r="RRH2" s="121"/>
      <c r="RRI2" s="121"/>
      <c r="RRJ2" s="121"/>
      <c r="RRK2" s="121"/>
      <c r="RRL2" s="121"/>
      <c r="RRM2" s="121"/>
      <c r="RRN2" s="121"/>
      <c r="RRO2" s="121"/>
      <c r="RRP2" s="121"/>
      <c r="RRQ2" s="121"/>
      <c r="RRR2" s="121"/>
      <c r="RRS2" s="121"/>
      <c r="RRT2" s="121"/>
      <c r="RRU2" s="121"/>
      <c r="RRV2" s="121"/>
      <c r="RRW2" s="121"/>
      <c r="RRX2" s="121"/>
      <c r="RRY2" s="121"/>
      <c r="RRZ2" s="121"/>
      <c r="RSA2" s="121"/>
      <c r="RSB2" s="121"/>
      <c r="RSC2" s="121"/>
      <c r="RSD2" s="121"/>
      <c r="RSE2" s="121"/>
      <c r="RSF2" s="121"/>
      <c r="RSG2" s="121"/>
      <c r="RSH2" s="121"/>
      <c r="RSI2" s="121"/>
      <c r="RSJ2" s="121"/>
      <c r="RSK2" s="121"/>
      <c r="RSL2" s="121"/>
      <c r="RSM2" s="121"/>
      <c r="RSN2" s="121"/>
      <c r="RSO2" s="121"/>
      <c r="RSP2" s="121"/>
      <c r="RSQ2" s="121"/>
      <c r="RSR2" s="121"/>
      <c r="RSS2" s="121"/>
      <c r="RST2" s="121"/>
      <c r="RSU2" s="121"/>
      <c r="RSV2" s="121"/>
      <c r="RSW2" s="121"/>
      <c r="RSX2" s="121"/>
      <c r="RSY2" s="121"/>
      <c r="RSZ2" s="121"/>
      <c r="RTA2" s="121"/>
      <c r="RTB2" s="121"/>
      <c r="RTC2" s="121"/>
      <c r="RTD2" s="121"/>
      <c r="RTE2" s="121"/>
      <c r="RTF2" s="121"/>
      <c r="RTG2" s="121"/>
      <c r="RTH2" s="121"/>
      <c r="RTI2" s="121"/>
      <c r="RTJ2" s="121"/>
      <c r="RTK2" s="121"/>
      <c r="RTL2" s="121"/>
      <c r="RTM2" s="121"/>
      <c r="RTN2" s="121"/>
      <c r="RTO2" s="121"/>
      <c r="RTP2" s="121"/>
      <c r="RTQ2" s="121"/>
      <c r="RTR2" s="121"/>
      <c r="RTS2" s="121"/>
      <c r="RTT2" s="121"/>
      <c r="RTU2" s="121"/>
      <c r="RTV2" s="121"/>
      <c r="RTW2" s="121"/>
      <c r="RTX2" s="121"/>
      <c r="RTY2" s="121"/>
      <c r="RTZ2" s="121"/>
      <c r="RUA2" s="121"/>
      <c r="RUB2" s="121"/>
      <c r="RUC2" s="121"/>
      <c r="RUD2" s="121"/>
      <c r="RUE2" s="121"/>
      <c r="RUF2" s="121"/>
      <c r="RUG2" s="121"/>
      <c r="RUH2" s="121"/>
      <c r="RUI2" s="121"/>
      <c r="RUJ2" s="121"/>
      <c r="RUK2" s="121"/>
      <c r="RUL2" s="121"/>
      <c r="RUM2" s="121"/>
      <c r="RUN2" s="121"/>
      <c r="RUO2" s="121"/>
      <c r="RUP2" s="121"/>
      <c r="RUQ2" s="121"/>
      <c r="RUR2" s="121"/>
      <c r="RUS2" s="121"/>
      <c r="RUT2" s="121"/>
      <c r="RUU2" s="121"/>
      <c r="RUV2" s="121"/>
      <c r="RUW2" s="121"/>
      <c r="RUX2" s="121"/>
      <c r="RUY2" s="121"/>
      <c r="RUZ2" s="121"/>
      <c r="RVA2" s="121"/>
      <c r="RVB2" s="121"/>
      <c r="RVC2" s="121"/>
      <c r="RVD2" s="121"/>
      <c r="RVE2" s="121"/>
      <c r="RVF2" s="121"/>
      <c r="RVG2" s="121"/>
      <c r="RVH2" s="121"/>
      <c r="RVI2" s="121"/>
      <c r="RVJ2" s="121"/>
      <c r="RVK2" s="121"/>
      <c r="RVL2" s="121"/>
      <c r="RVM2" s="121"/>
      <c r="RVN2" s="121"/>
      <c r="RVO2" s="121"/>
      <c r="RVP2" s="121"/>
      <c r="RVQ2" s="121"/>
      <c r="RVR2" s="121"/>
      <c r="RVS2" s="121"/>
      <c r="RVT2" s="121"/>
      <c r="RVU2" s="121"/>
      <c r="RVV2" s="121"/>
      <c r="RVW2" s="121"/>
      <c r="RVX2" s="121"/>
      <c r="RVY2" s="121"/>
      <c r="RVZ2" s="121"/>
      <c r="RWA2" s="121"/>
      <c r="RWB2" s="121"/>
      <c r="RWC2" s="121"/>
      <c r="RWD2" s="121"/>
      <c r="RWE2" s="121"/>
      <c r="RWF2" s="121"/>
      <c r="RWG2" s="121"/>
      <c r="RWH2" s="121"/>
      <c r="RWI2" s="121"/>
      <c r="RWJ2" s="121"/>
      <c r="RWK2" s="121"/>
      <c r="RWL2" s="121"/>
      <c r="RWM2" s="121"/>
      <c r="RWN2" s="121"/>
      <c r="RWO2" s="121"/>
      <c r="RWP2" s="121"/>
      <c r="RWQ2" s="121"/>
      <c r="RWR2" s="121"/>
      <c r="RWS2" s="121"/>
      <c r="RWT2" s="121"/>
      <c r="RWU2" s="121"/>
      <c r="RWV2" s="121"/>
      <c r="RWW2" s="121"/>
      <c r="RWX2" s="121"/>
      <c r="RWY2" s="121"/>
      <c r="RWZ2" s="121"/>
      <c r="RXA2" s="121"/>
      <c r="RXB2" s="121"/>
      <c r="RXC2" s="121"/>
      <c r="RXD2" s="121"/>
      <c r="RXE2" s="121"/>
      <c r="RXF2" s="121"/>
      <c r="RXG2" s="121"/>
      <c r="RXH2" s="121"/>
      <c r="RXI2" s="121"/>
      <c r="RXJ2" s="121"/>
      <c r="RXK2" s="121"/>
      <c r="RXL2" s="121"/>
      <c r="RXM2" s="121"/>
      <c r="RXN2" s="121"/>
      <c r="RXO2" s="121"/>
      <c r="RXP2" s="121"/>
      <c r="RXQ2" s="121"/>
      <c r="RXR2" s="121"/>
      <c r="RXS2" s="121"/>
      <c r="RXT2" s="121"/>
      <c r="RXU2" s="121"/>
      <c r="RXV2" s="121"/>
      <c r="RXW2" s="121"/>
      <c r="RXX2" s="121"/>
      <c r="RXY2" s="121"/>
      <c r="RXZ2" s="121"/>
      <c r="RYA2" s="121"/>
      <c r="RYB2" s="121"/>
      <c r="RYC2" s="121"/>
      <c r="RYD2" s="121"/>
      <c r="RYE2" s="121"/>
      <c r="RYF2" s="121"/>
      <c r="RYG2" s="121"/>
      <c r="RYH2" s="121"/>
      <c r="RYI2" s="121"/>
      <c r="RYJ2" s="121"/>
      <c r="RYK2" s="121"/>
      <c r="RYL2" s="121"/>
      <c r="RYM2" s="121"/>
      <c r="RYN2" s="121"/>
      <c r="RYO2" s="121"/>
      <c r="RYP2" s="121"/>
      <c r="RYQ2" s="121"/>
      <c r="RYR2" s="121"/>
      <c r="RYS2" s="121"/>
      <c r="RYT2" s="121"/>
      <c r="RYU2" s="121"/>
      <c r="RYV2" s="121"/>
      <c r="RYW2" s="121"/>
      <c r="RYX2" s="121"/>
      <c r="RYY2" s="121"/>
      <c r="RYZ2" s="121"/>
      <c r="RZA2" s="121"/>
      <c r="RZB2" s="121"/>
      <c r="RZC2" s="121"/>
      <c r="RZD2" s="121"/>
      <c r="RZE2" s="121"/>
      <c r="RZF2" s="121"/>
      <c r="RZG2" s="121"/>
      <c r="RZH2" s="121"/>
      <c r="RZI2" s="121"/>
      <c r="RZJ2" s="121"/>
      <c r="RZK2" s="121"/>
      <c r="RZL2" s="121"/>
      <c r="RZM2" s="121"/>
      <c r="RZN2" s="121"/>
      <c r="RZO2" s="121"/>
      <c r="RZP2" s="121"/>
      <c r="RZQ2" s="121"/>
      <c r="RZR2" s="121"/>
      <c r="RZS2" s="121"/>
      <c r="RZT2" s="121"/>
      <c r="RZU2" s="121"/>
      <c r="RZV2" s="121"/>
      <c r="RZW2" s="121"/>
      <c r="RZX2" s="121"/>
      <c r="RZY2" s="121"/>
      <c r="RZZ2" s="121"/>
      <c r="SAA2" s="121"/>
      <c r="SAB2" s="121"/>
      <c r="SAC2" s="121"/>
      <c r="SAD2" s="121"/>
      <c r="SAE2" s="121"/>
      <c r="SAF2" s="121"/>
      <c r="SAG2" s="121"/>
      <c r="SAH2" s="121"/>
      <c r="SAI2" s="121"/>
      <c r="SAJ2" s="121"/>
      <c r="SAK2" s="121"/>
      <c r="SAL2" s="121"/>
      <c r="SAM2" s="121"/>
      <c r="SAN2" s="121"/>
      <c r="SAO2" s="121"/>
      <c r="SAP2" s="121"/>
      <c r="SAQ2" s="121"/>
      <c r="SAR2" s="121"/>
      <c r="SAS2" s="121"/>
      <c r="SAT2" s="121"/>
      <c r="SAU2" s="121"/>
      <c r="SAV2" s="121"/>
      <c r="SAW2" s="121"/>
      <c r="SAX2" s="121"/>
      <c r="SAY2" s="121"/>
      <c r="SAZ2" s="121"/>
      <c r="SBA2" s="121"/>
      <c r="SBB2" s="121"/>
      <c r="SBC2" s="121"/>
      <c r="SBD2" s="121"/>
      <c r="SBE2" s="121"/>
      <c r="SBF2" s="121"/>
      <c r="SBG2" s="121"/>
      <c r="SBH2" s="121"/>
      <c r="SBI2" s="121"/>
      <c r="SBJ2" s="121"/>
      <c r="SBK2" s="121"/>
      <c r="SBL2" s="121"/>
      <c r="SBM2" s="121"/>
      <c r="SBN2" s="121"/>
      <c r="SBO2" s="121"/>
      <c r="SBP2" s="121"/>
      <c r="SBQ2" s="121"/>
      <c r="SBR2" s="121"/>
      <c r="SBS2" s="121"/>
      <c r="SBT2" s="121"/>
      <c r="SBU2" s="121"/>
      <c r="SBV2" s="121"/>
      <c r="SBW2" s="121"/>
      <c r="SBX2" s="121"/>
      <c r="SBY2" s="121"/>
      <c r="SBZ2" s="121"/>
      <c r="SCA2" s="121"/>
      <c r="SCB2" s="121"/>
      <c r="SCC2" s="121"/>
      <c r="SCD2" s="121"/>
      <c r="SCE2" s="121"/>
      <c r="SCF2" s="121"/>
      <c r="SCG2" s="121"/>
      <c r="SCH2" s="121"/>
      <c r="SCI2" s="121"/>
      <c r="SCJ2" s="121"/>
      <c r="SCK2" s="121"/>
      <c r="SCL2" s="121"/>
      <c r="SCM2" s="121"/>
      <c r="SCN2" s="121"/>
      <c r="SCO2" s="121"/>
      <c r="SCP2" s="121"/>
      <c r="SCQ2" s="121"/>
      <c r="SCR2" s="121"/>
      <c r="SCS2" s="121"/>
      <c r="SCT2" s="121"/>
      <c r="SCU2" s="121"/>
      <c r="SCV2" s="121"/>
      <c r="SCW2" s="121"/>
      <c r="SCX2" s="121"/>
      <c r="SCY2" s="121"/>
      <c r="SCZ2" s="121"/>
      <c r="SDA2" s="121"/>
      <c r="SDB2" s="121"/>
      <c r="SDC2" s="121"/>
      <c r="SDD2" s="121"/>
      <c r="SDE2" s="121"/>
      <c r="SDF2" s="121"/>
      <c r="SDG2" s="121"/>
      <c r="SDH2" s="121"/>
      <c r="SDI2" s="121"/>
      <c r="SDJ2" s="121"/>
      <c r="SDK2" s="121"/>
      <c r="SDL2" s="121"/>
      <c r="SDM2" s="121"/>
      <c r="SDN2" s="121"/>
      <c r="SDO2" s="121"/>
      <c r="SDP2" s="121"/>
      <c r="SDQ2" s="121"/>
      <c r="SDR2" s="121"/>
      <c r="SDS2" s="121"/>
      <c r="SDT2" s="121"/>
      <c r="SDU2" s="121"/>
      <c r="SDV2" s="121"/>
      <c r="SDW2" s="121"/>
      <c r="SDX2" s="121"/>
      <c r="SDY2" s="121"/>
      <c r="SDZ2" s="121"/>
      <c r="SEA2" s="121"/>
      <c r="SEB2" s="121"/>
      <c r="SEC2" s="121"/>
      <c r="SED2" s="121"/>
      <c r="SEE2" s="121"/>
      <c r="SEF2" s="121"/>
      <c r="SEG2" s="121"/>
      <c r="SEH2" s="121"/>
      <c r="SEI2" s="121"/>
      <c r="SEJ2" s="121"/>
      <c r="SEK2" s="121"/>
      <c r="SEL2" s="121"/>
      <c r="SEM2" s="121"/>
      <c r="SEN2" s="121"/>
      <c r="SEO2" s="121"/>
      <c r="SEP2" s="121"/>
      <c r="SEQ2" s="121"/>
      <c r="SER2" s="121"/>
      <c r="SES2" s="121"/>
      <c r="SET2" s="121"/>
      <c r="SEU2" s="121"/>
      <c r="SEV2" s="121"/>
      <c r="SEW2" s="121"/>
      <c r="SEX2" s="121"/>
      <c r="SEY2" s="121"/>
      <c r="SEZ2" s="121"/>
      <c r="SFA2" s="121"/>
      <c r="SFB2" s="121"/>
      <c r="SFC2" s="121"/>
      <c r="SFD2" s="121"/>
      <c r="SFE2" s="121"/>
      <c r="SFF2" s="121"/>
      <c r="SFG2" s="121"/>
      <c r="SFH2" s="121"/>
      <c r="SFI2" s="121"/>
      <c r="SFJ2" s="121"/>
      <c r="SFK2" s="121"/>
      <c r="SFL2" s="121"/>
      <c r="SFM2" s="121"/>
      <c r="SFN2" s="121"/>
      <c r="SFO2" s="121"/>
      <c r="SFP2" s="121"/>
      <c r="SFQ2" s="121"/>
      <c r="SFR2" s="121"/>
      <c r="SFS2" s="121"/>
      <c r="SFT2" s="121"/>
      <c r="SFU2" s="121"/>
      <c r="SFV2" s="121"/>
      <c r="SFW2" s="121"/>
      <c r="SFX2" s="121"/>
      <c r="SFY2" s="121"/>
      <c r="SFZ2" s="121"/>
      <c r="SGA2" s="121"/>
      <c r="SGB2" s="121"/>
      <c r="SGC2" s="121"/>
      <c r="SGD2" s="121"/>
      <c r="SGE2" s="121"/>
      <c r="SGF2" s="121"/>
      <c r="SGG2" s="121"/>
      <c r="SGH2" s="121"/>
      <c r="SGI2" s="121"/>
      <c r="SGJ2" s="121"/>
      <c r="SGK2" s="121"/>
      <c r="SGL2" s="121"/>
      <c r="SGM2" s="121"/>
      <c r="SGN2" s="121"/>
      <c r="SGO2" s="121"/>
      <c r="SGP2" s="121"/>
      <c r="SGQ2" s="121"/>
      <c r="SGR2" s="121"/>
      <c r="SGS2" s="121"/>
      <c r="SGT2" s="121"/>
      <c r="SGU2" s="121"/>
      <c r="SGV2" s="121"/>
      <c r="SGW2" s="121"/>
      <c r="SGX2" s="121"/>
      <c r="SGY2" s="121"/>
      <c r="SGZ2" s="121"/>
      <c r="SHA2" s="121"/>
      <c r="SHB2" s="121"/>
      <c r="SHC2" s="121"/>
      <c r="SHD2" s="121"/>
      <c r="SHE2" s="121"/>
      <c r="SHF2" s="121"/>
      <c r="SHG2" s="121"/>
      <c r="SHH2" s="121"/>
      <c r="SHI2" s="121"/>
      <c r="SHJ2" s="121"/>
      <c r="SHK2" s="121"/>
      <c r="SHL2" s="121"/>
      <c r="SHM2" s="121"/>
      <c r="SHN2" s="121"/>
      <c r="SHO2" s="121"/>
      <c r="SHP2" s="121"/>
      <c r="SHQ2" s="121"/>
      <c r="SHR2" s="121"/>
      <c r="SHS2" s="121"/>
      <c r="SHT2" s="121"/>
      <c r="SHU2" s="121"/>
      <c r="SHV2" s="121"/>
      <c r="SHW2" s="121"/>
      <c r="SHX2" s="121"/>
      <c r="SHY2" s="121"/>
      <c r="SHZ2" s="121"/>
      <c r="SIA2" s="121"/>
      <c r="SIB2" s="121"/>
      <c r="SIC2" s="121"/>
      <c r="SID2" s="121"/>
      <c r="SIE2" s="121"/>
      <c r="SIF2" s="121"/>
      <c r="SIG2" s="121"/>
      <c r="SIH2" s="121"/>
      <c r="SII2" s="121"/>
      <c r="SIJ2" s="121"/>
      <c r="SIK2" s="121"/>
      <c r="SIL2" s="121"/>
      <c r="SIM2" s="121"/>
      <c r="SIN2" s="121"/>
      <c r="SIO2" s="121"/>
      <c r="SIP2" s="121"/>
      <c r="SIQ2" s="121"/>
      <c r="SIR2" s="121"/>
      <c r="SIS2" s="121"/>
      <c r="SIT2" s="121"/>
      <c r="SIU2" s="121"/>
      <c r="SIV2" s="121"/>
      <c r="SIW2" s="121"/>
      <c r="SIX2" s="121"/>
      <c r="SIY2" s="121"/>
      <c r="SIZ2" s="121"/>
      <c r="SJA2" s="121"/>
      <c r="SJB2" s="121"/>
      <c r="SJC2" s="121"/>
      <c r="SJD2" s="121"/>
      <c r="SJE2" s="121"/>
      <c r="SJF2" s="121"/>
      <c r="SJG2" s="121"/>
      <c r="SJH2" s="121"/>
      <c r="SJI2" s="121"/>
      <c r="SJJ2" s="121"/>
      <c r="SJK2" s="121"/>
      <c r="SJL2" s="121"/>
      <c r="SJM2" s="121"/>
      <c r="SJN2" s="121"/>
      <c r="SJO2" s="121"/>
      <c r="SJP2" s="121"/>
      <c r="SJQ2" s="121"/>
      <c r="SJR2" s="121"/>
      <c r="SJS2" s="121"/>
      <c r="SJT2" s="121"/>
      <c r="SJU2" s="121"/>
      <c r="SJV2" s="121"/>
      <c r="SJW2" s="121"/>
      <c r="SJX2" s="121"/>
      <c r="SJY2" s="121"/>
      <c r="SJZ2" s="121"/>
      <c r="SKA2" s="121"/>
      <c r="SKB2" s="121"/>
      <c r="SKC2" s="121"/>
      <c r="SKD2" s="121"/>
      <c r="SKE2" s="121"/>
      <c r="SKF2" s="121"/>
      <c r="SKG2" s="121"/>
      <c r="SKH2" s="121"/>
      <c r="SKI2" s="121"/>
      <c r="SKJ2" s="121"/>
      <c r="SKK2" s="121"/>
      <c r="SKL2" s="121"/>
      <c r="SKM2" s="121"/>
      <c r="SKN2" s="121"/>
      <c r="SKO2" s="121"/>
      <c r="SKP2" s="121"/>
      <c r="SKQ2" s="121"/>
      <c r="SKR2" s="121"/>
      <c r="SKS2" s="121"/>
      <c r="SKT2" s="121"/>
      <c r="SKU2" s="121"/>
      <c r="SKV2" s="121"/>
      <c r="SKW2" s="121"/>
      <c r="SKX2" s="121"/>
      <c r="SKY2" s="121"/>
      <c r="SKZ2" s="121"/>
      <c r="SLA2" s="121"/>
      <c r="SLB2" s="121"/>
      <c r="SLC2" s="121"/>
      <c r="SLD2" s="121"/>
      <c r="SLE2" s="121"/>
      <c r="SLF2" s="121"/>
      <c r="SLG2" s="121"/>
      <c r="SLH2" s="121"/>
      <c r="SLI2" s="121"/>
      <c r="SLJ2" s="121"/>
      <c r="SLK2" s="121"/>
      <c r="SLL2" s="121"/>
      <c r="SLM2" s="121"/>
      <c r="SLN2" s="121"/>
      <c r="SLO2" s="121"/>
      <c r="SLP2" s="121"/>
      <c r="SLQ2" s="121"/>
      <c r="SLR2" s="121"/>
      <c r="SLS2" s="121"/>
      <c r="SLT2" s="121"/>
      <c r="SLU2" s="121"/>
      <c r="SLV2" s="121"/>
      <c r="SLW2" s="121"/>
      <c r="SLX2" s="121"/>
      <c r="SLY2" s="121"/>
      <c r="SLZ2" s="121"/>
      <c r="SMA2" s="121"/>
      <c r="SMB2" s="121"/>
      <c r="SMC2" s="121"/>
      <c r="SMD2" s="121"/>
      <c r="SME2" s="121"/>
      <c r="SMF2" s="121"/>
      <c r="SMG2" s="121"/>
      <c r="SMH2" s="121"/>
      <c r="SMI2" s="121"/>
      <c r="SMJ2" s="121"/>
      <c r="SMK2" s="121"/>
      <c r="SML2" s="121"/>
      <c r="SMM2" s="121"/>
      <c r="SMN2" s="121"/>
      <c r="SMO2" s="121"/>
      <c r="SMP2" s="121"/>
      <c r="SMQ2" s="121"/>
      <c r="SMR2" s="121"/>
      <c r="SMS2" s="121"/>
      <c r="SMT2" s="121"/>
      <c r="SMU2" s="121"/>
      <c r="SMV2" s="121"/>
      <c r="SMW2" s="121"/>
      <c r="SMX2" s="121"/>
      <c r="SMY2" s="121"/>
      <c r="SMZ2" s="121"/>
      <c r="SNA2" s="121"/>
      <c r="SNB2" s="121"/>
      <c r="SNC2" s="121"/>
      <c r="SND2" s="121"/>
      <c r="SNE2" s="121"/>
      <c r="SNF2" s="121"/>
      <c r="SNG2" s="121"/>
      <c r="SNH2" s="121"/>
      <c r="SNI2" s="121"/>
      <c r="SNJ2" s="121"/>
      <c r="SNK2" s="121"/>
      <c r="SNL2" s="121"/>
      <c r="SNM2" s="121"/>
      <c r="SNN2" s="121"/>
      <c r="SNO2" s="121"/>
      <c r="SNP2" s="121"/>
      <c r="SNQ2" s="121"/>
      <c r="SNR2" s="121"/>
      <c r="SNS2" s="121"/>
      <c r="SNT2" s="121"/>
      <c r="SNU2" s="121"/>
      <c r="SNV2" s="121"/>
      <c r="SNW2" s="121"/>
      <c r="SNX2" s="121"/>
      <c r="SNY2" s="121"/>
      <c r="SNZ2" s="121"/>
      <c r="SOA2" s="121"/>
      <c r="SOB2" s="121"/>
      <c r="SOC2" s="121"/>
      <c r="SOD2" s="121"/>
      <c r="SOE2" s="121"/>
      <c r="SOF2" s="121"/>
      <c r="SOG2" s="121"/>
      <c r="SOH2" s="121"/>
      <c r="SOI2" s="121"/>
      <c r="SOJ2" s="121"/>
      <c r="SOK2" s="121"/>
      <c r="SOL2" s="121"/>
      <c r="SOM2" s="121"/>
      <c r="SON2" s="121"/>
      <c r="SOO2" s="121"/>
      <c r="SOP2" s="121"/>
      <c r="SOQ2" s="121"/>
      <c r="SOR2" s="121"/>
      <c r="SOS2" s="121"/>
      <c r="SOT2" s="121"/>
      <c r="SOU2" s="121"/>
      <c r="SOV2" s="121"/>
      <c r="SOW2" s="121"/>
      <c r="SOX2" s="121"/>
      <c r="SOY2" s="121"/>
      <c r="SOZ2" s="121"/>
      <c r="SPA2" s="121"/>
      <c r="SPB2" s="121"/>
      <c r="SPC2" s="121"/>
      <c r="SPD2" s="121"/>
      <c r="SPE2" s="121"/>
      <c r="SPF2" s="121"/>
      <c r="SPG2" s="121"/>
      <c r="SPH2" s="121"/>
      <c r="SPI2" s="121"/>
      <c r="SPJ2" s="121"/>
      <c r="SPK2" s="121"/>
      <c r="SPL2" s="121"/>
      <c r="SPM2" s="121"/>
      <c r="SPN2" s="121"/>
      <c r="SPO2" s="121"/>
      <c r="SPP2" s="121"/>
      <c r="SPQ2" s="121"/>
      <c r="SPR2" s="121"/>
      <c r="SPS2" s="121"/>
      <c r="SPT2" s="121"/>
      <c r="SPU2" s="121"/>
      <c r="SPV2" s="121"/>
      <c r="SPW2" s="121"/>
      <c r="SPX2" s="121"/>
      <c r="SPY2" s="121"/>
      <c r="SPZ2" s="121"/>
      <c r="SQA2" s="121"/>
      <c r="SQB2" s="121"/>
      <c r="SQC2" s="121"/>
      <c r="SQD2" s="121"/>
      <c r="SQE2" s="121"/>
      <c r="SQF2" s="121"/>
      <c r="SQG2" s="121"/>
      <c r="SQH2" s="121"/>
      <c r="SQI2" s="121"/>
      <c r="SQJ2" s="121"/>
      <c r="SQK2" s="121"/>
      <c r="SQL2" s="121"/>
      <c r="SQM2" s="121"/>
      <c r="SQN2" s="121"/>
      <c r="SQO2" s="121"/>
      <c r="SQP2" s="121"/>
      <c r="SQQ2" s="121"/>
      <c r="SQR2" s="121"/>
      <c r="SQS2" s="121"/>
      <c r="SQT2" s="121"/>
      <c r="SQU2" s="121"/>
      <c r="SQV2" s="121"/>
      <c r="SQW2" s="121"/>
      <c r="SQX2" s="121"/>
      <c r="SQY2" s="121"/>
      <c r="SQZ2" s="121"/>
      <c r="SRA2" s="121"/>
      <c r="SRB2" s="121"/>
      <c r="SRC2" s="121"/>
      <c r="SRD2" s="121"/>
      <c r="SRE2" s="121"/>
      <c r="SRF2" s="121"/>
      <c r="SRG2" s="121"/>
      <c r="SRH2" s="121"/>
      <c r="SRI2" s="121"/>
      <c r="SRJ2" s="121"/>
      <c r="SRK2" s="121"/>
      <c r="SRL2" s="121"/>
      <c r="SRM2" s="121"/>
      <c r="SRN2" s="121"/>
      <c r="SRO2" s="121"/>
      <c r="SRP2" s="121"/>
      <c r="SRQ2" s="121"/>
      <c r="SRR2" s="121"/>
      <c r="SRS2" s="121"/>
      <c r="SRT2" s="121"/>
      <c r="SRU2" s="121"/>
      <c r="SRV2" s="121"/>
      <c r="SRW2" s="121"/>
      <c r="SRX2" s="121"/>
      <c r="SRY2" s="121"/>
      <c r="SRZ2" s="121"/>
      <c r="SSA2" s="121"/>
      <c r="SSB2" s="121"/>
      <c r="SSC2" s="121"/>
      <c r="SSD2" s="121"/>
      <c r="SSE2" s="121"/>
      <c r="SSF2" s="121"/>
      <c r="SSG2" s="121"/>
      <c r="SSH2" s="121"/>
      <c r="SSI2" s="121"/>
      <c r="SSJ2" s="121"/>
      <c r="SSK2" s="121"/>
      <c r="SSL2" s="121"/>
      <c r="SSM2" s="121"/>
      <c r="SSN2" s="121"/>
      <c r="SSO2" s="121"/>
      <c r="SSP2" s="121"/>
      <c r="SSQ2" s="121"/>
      <c r="SSR2" s="121"/>
      <c r="SSS2" s="121"/>
      <c r="SST2" s="121"/>
      <c r="SSU2" s="121"/>
      <c r="SSV2" s="121"/>
      <c r="SSW2" s="121"/>
      <c r="SSX2" s="121"/>
      <c r="SSY2" s="121"/>
      <c r="SSZ2" s="121"/>
      <c r="STA2" s="121"/>
      <c r="STB2" s="121"/>
      <c r="STC2" s="121"/>
      <c r="STD2" s="121"/>
      <c r="STE2" s="121"/>
      <c r="STF2" s="121"/>
      <c r="STG2" s="121"/>
      <c r="STH2" s="121"/>
      <c r="STI2" s="121"/>
      <c r="STJ2" s="121"/>
      <c r="STK2" s="121"/>
      <c r="STL2" s="121"/>
      <c r="STM2" s="121"/>
      <c r="STN2" s="121"/>
      <c r="STO2" s="121"/>
      <c r="STP2" s="121"/>
      <c r="STQ2" s="121"/>
      <c r="STR2" s="121"/>
      <c r="STS2" s="121"/>
      <c r="STT2" s="121"/>
      <c r="STU2" s="121"/>
      <c r="STV2" s="121"/>
      <c r="STW2" s="121"/>
      <c r="STX2" s="121"/>
      <c r="STY2" s="121"/>
      <c r="STZ2" s="121"/>
      <c r="SUA2" s="121"/>
      <c r="SUB2" s="121"/>
      <c r="SUC2" s="121"/>
      <c r="SUD2" s="121"/>
      <c r="SUE2" s="121"/>
      <c r="SUF2" s="121"/>
      <c r="SUG2" s="121"/>
      <c r="SUH2" s="121"/>
      <c r="SUI2" s="121"/>
      <c r="SUJ2" s="121"/>
      <c r="SUK2" s="121"/>
      <c r="SUL2" s="121"/>
      <c r="SUM2" s="121"/>
      <c r="SUN2" s="121"/>
      <c r="SUO2" s="121"/>
      <c r="SUP2" s="121"/>
      <c r="SUQ2" s="121"/>
      <c r="SUR2" s="121"/>
      <c r="SUS2" s="121"/>
      <c r="SUT2" s="121"/>
      <c r="SUU2" s="121"/>
      <c r="SUV2" s="121"/>
      <c r="SUW2" s="121"/>
      <c r="SUX2" s="121"/>
      <c r="SUY2" s="121"/>
      <c r="SUZ2" s="121"/>
      <c r="SVA2" s="121"/>
      <c r="SVB2" s="121"/>
      <c r="SVC2" s="121"/>
      <c r="SVD2" s="121"/>
      <c r="SVE2" s="121"/>
      <c r="SVF2" s="121"/>
      <c r="SVG2" s="121"/>
      <c r="SVH2" s="121"/>
      <c r="SVI2" s="121"/>
      <c r="SVJ2" s="121"/>
      <c r="SVK2" s="121"/>
      <c r="SVL2" s="121"/>
      <c r="SVM2" s="121"/>
      <c r="SVN2" s="121"/>
      <c r="SVO2" s="121"/>
      <c r="SVP2" s="121"/>
      <c r="SVQ2" s="121"/>
      <c r="SVR2" s="121"/>
      <c r="SVS2" s="121"/>
      <c r="SVT2" s="121"/>
      <c r="SVU2" s="121"/>
      <c r="SVV2" s="121"/>
      <c r="SVW2" s="121"/>
      <c r="SVX2" s="121"/>
      <c r="SVY2" s="121"/>
      <c r="SVZ2" s="121"/>
      <c r="SWA2" s="121"/>
      <c r="SWB2" s="121"/>
      <c r="SWC2" s="121"/>
      <c r="SWD2" s="121"/>
      <c r="SWE2" s="121"/>
      <c r="SWF2" s="121"/>
      <c r="SWG2" s="121"/>
      <c r="SWH2" s="121"/>
      <c r="SWI2" s="121"/>
      <c r="SWJ2" s="121"/>
      <c r="SWK2" s="121"/>
      <c r="SWL2" s="121"/>
      <c r="SWM2" s="121"/>
      <c r="SWN2" s="121"/>
      <c r="SWO2" s="121"/>
      <c r="SWP2" s="121"/>
      <c r="SWQ2" s="121"/>
      <c r="SWR2" s="121"/>
      <c r="SWS2" s="121"/>
      <c r="SWT2" s="121"/>
      <c r="SWU2" s="121"/>
      <c r="SWV2" s="121"/>
      <c r="SWW2" s="121"/>
      <c r="SWX2" s="121"/>
      <c r="SWY2" s="121"/>
      <c r="SWZ2" s="121"/>
      <c r="SXA2" s="121"/>
      <c r="SXB2" s="121"/>
      <c r="SXC2" s="121"/>
      <c r="SXD2" s="121"/>
      <c r="SXE2" s="121"/>
      <c r="SXF2" s="121"/>
      <c r="SXG2" s="121"/>
      <c r="SXH2" s="121"/>
      <c r="SXI2" s="121"/>
      <c r="SXJ2" s="121"/>
      <c r="SXK2" s="121"/>
      <c r="SXL2" s="121"/>
      <c r="SXM2" s="121"/>
      <c r="SXN2" s="121"/>
      <c r="SXO2" s="121"/>
      <c r="SXP2" s="121"/>
      <c r="SXQ2" s="121"/>
      <c r="SXR2" s="121"/>
      <c r="SXS2" s="121"/>
      <c r="SXT2" s="121"/>
      <c r="SXU2" s="121"/>
      <c r="SXV2" s="121"/>
      <c r="SXW2" s="121"/>
      <c r="SXX2" s="121"/>
      <c r="SXY2" s="121"/>
      <c r="SXZ2" s="121"/>
      <c r="SYA2" s="121"/>
      <c r="SYB2" s="121"/>
      <c r="SYC2" s="121"/>
      <c r="SYD2" s="121"/>
      <c r="SYE2" s="121"/>
      <c r="SYF2" s="121"/>
      <c r="SYG2" s="121"/>
      <c r="SYH2" s="121"/>
      <c r="SYI2" s="121"/>
      <c r="SYJ2" s="121"/>
      <c r="SYK2" s="121"/>
      <c r="SYL2" s="121"/>
      <c r="SYM2" s="121"/>
      <c r="SYN2" s="121"/>
      <c r="SYO2" s="121"/>
      <c r="SYP2" s="121"/>
      <c r="SYQ2" s="121"/>
      <c r="SYR2" s="121"/>
      <c r="SYS2" s="121"/>
      <c r="SYT2" s="121"/>
      <c r="SYU2" s="121"/>
      <c r="SYV2" s="121"/>
      <c r="SYW2" s="121"/>
      <c r="SYX2" s="121"/>
      <c r="SYY2" s="121"/>
      <c r="SYZ2" s="121"/>
      <c r="SZA2" s="121"/>
      <c r="SZB2" s="121"/>
      <c r="SZC2" s="121"/>
      <c r="SZD2" s="121"/>
      <c r="SZE2" s="121"/>
      <c r="SZF2" s="121"/>
      <c r="SZG2" s="121"/>
      <c r="SZH2" s="121"/>
      <c r="SZI2" s="121"/>
      <c r="SZJ2" s="121"/>
      <c r="SZK2" s="121"/>
      <c r="SZL2" s="121"/>
      <c r="SZM2" s="121"/>
      <c r="SZN2" s="121"/>
      <c r="SZO2" s="121"/>
      <c r="SZP2" s="121"/>
      <c r="SZQ2" s="121"/>
      <c r="SZR2" s="121"/>
      <c r="SZS2" s="121"/>
      <c r="SZT2" s="121"/>
      <c r="SZU2" s="121"/>
      <c r="SZV2" s="121"/>
      <c r="SZW2" s="121"/>
      <c r="SZX2" s="121"/>
      <c r="SZY2" s="121"/>
      <c r="SZZ2" s="121"/>
      <c r="TAA2" s="121"/>
      <c r="TAB2" s="121"/>
      <c r="TAC2" s="121"/>
      <c r="TAD2" s="121"/>
      <c r="TAE2" s="121"/>
      <c r="TAF2" s="121"/>
      <c r="TAG2" s="121"/>
      <c r="TAH2" s="121"/>
      <c r="TAI2" s="121"/>
      <c r="TAJ2" s="121"/>
      <c r="TAK2" s="121"/>
      <c r="TAL2" s="121"/>
      <c r="TAM2" s="121"/>
      <c r="TAN2" s="121"/>
      <c r="TAO2" s="121"/>
      <c r="TAP2" s="121"/>
      <c r="TAQ2" s="121"/>
      <c r="TAR2" s="121"/>
      <c r="TAS2" s="121"/>
      <c r="TAT2" s="121"/>
      <c r="TAU2" s="121"/>
      <c r="TAV2" s="121"/>
      <c r="TAW2" s="121"/>
      <c r="TAX2" s="121"/>
      <c r="TAY2" s="121"/>
      <c r="TAZ2" s="121"/>
      <c r="TBA2" s="121"/>
      <c r="TBB2" s="121"/>
      <c r="TBC2" s="121"/>
      <c r="TBD2" s="121"/>
      <c r="TBE2" s="121"/>
      <c r="TBF2" s="121"/>
      <c r="TBG2" s="121"/>
      <c r="TBH2" s="121"/>
      <c r="TBI2" s="121"/>
      <c r="TBJ2" s="121"/>
      <c r="TBK2" s="121"/>
      <c r="TBL2" s="121"/>
      <c r="TBM2" s="121"/>
      <c r="TBN2" s="121"/>
      <c r="TBO2" s="121"/>
      <c r="TBP2" s="121"/>
      <c r="TBQ2" s="121"/>
      <c r="TBR2" s="121"/>
      <c r="TBS2" s="121"/>
      <c r="TBT2" s="121"/>
      <c r="TBU2" s="121"/>
      <c r="TBV2" s="121"/>
      <c r="TBW2" s="121"/>
      <c r="TBX2" s="121"/>
      <c r="TBY2" s="121"/>
      <c r="TBZ2" s="121"/>
      <c r="TCA2" s="121"/>
      <c r="TCB2" s="121"/>
      <c r="TCC2" s="121"/>
      <c r="TCD2" s="121"/>
      <c r="TCE2" s="121"/>
      <c r="TCF2" s="121"/>
      <c r="TCG2" s="121"/>
      <c r="TCH2" s="121"/>
      <c r="TCI2" s="121"/>
      <c r="TCJ2" s="121"/>
      <c r="TCK2" s="121"/>
      <c r="TCL2" s="121"/>
      <c r="TCM2" s="121"/>
      <c r="TCN2" s="121"/>
      <c r="TCO2" s="121"/>
      <c r="TCP2" s="121"/>
      <c r="TCQ2" s="121"/>
      <c r="TCR2" s="121"/>
      <c r="TCS2" s="121"/>
      <c r="TCT2" s="121"/>
      <c r="TCU2" s="121"/>
      <c r="TCV2" s="121"/>
      <c r="TCW2" s="121"/>
      <c r="TCX2" s="121"/>
      <c r="TCY2" s="121"/>
      <c r="TCZ2" s="121"/>
      <c r="TDA2" s="121"/>
      <c r="TDB2" s="121"/>
      <c r="TDC2" s="121"/>
      <c r="TDD2" s="121"/>
      <c r="TDE2" s="121"/>
      <c r="TDF2" s="121"/>
      <c r="TDG2" s="121"/>
      <c r="TDH2" s="121"/>
      <c r="TDI2" s="121"/>
      <c r="TDJ2" s="121"/>
      <c r="TDK2" s="121"/>
      <c r="TDL2" s="121"/>
      <c r="TDM2" s="121"/>
      <c r="TDN2" s="121"/>
      <c r="TDO2" s="121"/>
      <c r="TDP2" s="121"/>
      <c r="TDQ2" s="121"/>
      <c r="TDR2" s="121"/>
      <c r="TDS2" s="121"/>
      <c r="TDT2" s="121"/>
      <c r="TDU2" s="121"/>
      <c r="TDV2" s="121"/>
      <c r="TDW2" s="121"/>
      <c r="TDX2" s="121"/>
      <c r="TDY2" s="121"/>
      <c r="TDZ2" s="121"/>
      <c r="TEA2" s="121"/>
      <c r="TEB2" s="121"/>
      <c r="TEC2" s="121"/>
      <c r="TED2" s="121"/>
      <c r="TEE2" s="121"/>
      <c r="TEF2" s="121"/>
      <c r="TEG2" s="121"/>
      <c r="TEH2" s="121"/>
      <c r="TEI2" s="121"/>
      <c r="TEJ2" s="121"/>
      <c r="TEK2" s="121"/>
      <c r="TEL2" s="121"/>
      <c r="TEM2" s="121"/>
      <c r="TEN2" s="121"/>
      <c r="TEO2" s="121"/>
      <c r="TEP2" s="121"/>
      <c r="TEQ2" s="121"/>
      <c r="TER2" s="121"/>
      <c r="TES2" s="121"/>
      <c r="TET2" s="121"/>
      <c r="TEU2" s="121"/>
      <c r="TEV2" s="121"/>
      <c r="TEW2" s="121"/>
      <c r="TEX2" s="121"/>
      <c r="TEY2" s="121"/>
      <c r="TEZ2" s="121"/>
      <c r="TFA2" s="121"/>
      <c r="TFB2" s="121"/>
      <c r="TFC2" s="121"/>
      <c r="TFD2" s="121"/>
      <c r="TFE2" s="121"/>
      <c r="TFF2" s="121"/>
      <c r="TFG2" s="121"/>
      <c r="TFH2" s="121"/>
      <c r="TFI2" s="121"/>
      <c r="TFJ2" s="121"/>
      <c r="TFK2" s="121"/>
      <c r="TFL2" s="121"/>
      <c r="TFM2" s="121"/>
      <c r="TFN2" s="121"/>
      <c r="TFO2" s="121"/>
      <c r="TFP2" s="121"/>
      <c r="TFQ2" s="121"/>
      <c r="TFR2" s="121"/>
      <c r="TFS2" s="121"/>
      <c r="TFT2" s="121"/>
      <c r="TFU2" s="121"/>
      <c r="TFV2" s="121"/>
      <c r="TFW2" s="121"/>
      <c r="TFX2" s="121"/>
      <c r="TFY2" s="121"/>
      <c r="TFZ2" s="121"/>
      <c r="TGA2" s="121"/>
      <c r="TGB2" s="121"/>
      <c r="TGC2" s="121"/>
      <c r="TGD2" s="121"/>
      <c r="TGE2" s="121"/>
      <c r="TGF2" s="121"/>
      <c r="TGG2" s="121"/>
      <c r="TGH2" s="121"/>
      <c r="TGI2" s="121"/>
      <c r="TGJ2" s="121"/>
      <c r="TGK2" s="121"/>
      <c r="TGL2" s="121"/>
      <c r="TGM2" s="121"/>
      <c r="TGN2" s="121"/>
      <c r="TGO2" s="121"/>
      <c r="TGP2" s="121"/>
      <c r="TGQ2" s="121"/>
      <c r="TGR2" s="121"/>
      <c r="TGS2" s="121"/>
      <c r="TGT2" s="121"/>
      <c r="TGU2" s="121"/>
      <c r="TGV2" s="121"/>
      <c r="TGW2" s="121"/>
      <c r="TGX2" s="121"/>
      <c r="TGY2" s="121"/>
      <c r="TGZ2" s="121"/>
      <c r="THA2" s="121"/>
      <c r="THB2" s="121"/>
      <c r="THC2" s="121"/>
      <c r="THD2" s="121"/>
      <c r="THE2" s="121"/>
      <c r="THF2" s="121"/>
      <c r="THG2" s="121"/>
      <c r="THH2" s="121"/>
      <c r="THI2" s="121"/>
      <c r="THJ2" s="121"/>
      <c r="THK2" s="121"/>
      <c r="THL2" s="121"/>
      <c r="THM2" s="121"/>
      <c r="THN2" s="121"/>
      <c r="THO2" s="121"/>
      <c r="THP2" s="121"/>
      <c r="THQ2" s="121"/>
      <c r="THR2" s="121"/>
      <c r="THS2" s="121"/>
      <c r="THT2" s="121"/>
      <c r="THU2" s="121"/>
      <c r="THV2" s="121"/>
      <c r="THW2" s="121"/>
      <c r="THX2" s="121"/>
      <c r="THY2" s="121"/>
      <c r="THZ2" s="121"/>
      <c r="TIA2" s="121"/>
      <c r="TIB2" s="121"/>
      <c r="TIC2" s="121"/>
      <c r="TID2" s="121"/>
      <c r="TIE2" s="121"/>
      <c r="TIF2" s="121"/>
      <c r="TIG2" s="121"/>
      <c r="TIH2" s="121"/>
      <c r="TII2" s="121"/>
      <c r="TIJ2" s="121"/>
      <c r="TIK2" s="121"/>
      <c r="TIL2" s="121"/>
      <c r="TIM2" s="121"/>
      <c r="TIN2" s="121"/>
      <c r="TIO2" s="121"/>
      <c r="TIP2" s="121"/>
      <c r="TIQ2" s="121"/>
      <c r="TIR2" s="121"/>
      <c r="TIS2" s="121"/>
      <c r="TIT2" s="121"/>
      <c r="TIU2" s="121"/>
      <c r="TIV2" s="121"/>
      <c r="TIW2" s="121"/>
      <c r="TIX2" s="121"/>
      <c r="TIY2" s="121"/>
      <c r="TIZ2" s="121"/>
      <c r="TJA2" s="121"/>
      <c r="TJB2" s="121"/>
      <c r="TJC2" s="121"/>
      <c r="TJD2" s="121"/>
      <c r="TJE2" s="121"/>
      <c r="TJF2" s="121"/>
      <c r="TJG2" s="121"/>
      <c r="TJH2" s="121"/>
      <c r="TJI2" s="121"/>
      <c r="TJJ2" s="121"/>
      <c r="TJK2" s="121"/>
      <c r="TJL2" s="121"/>
      <c r="TJM2" s="121"/>
      <c r="TJN2" s="121"/>
      <c r="TJO2" s="121"/>
      <c r="TJP2" s="121"/>
      <c r="TJQ2" s="121"/>
      <c r="TJR2" s="121"/>
      <c r="TJS2" s="121"/>
      <c r="TJT2" s="121"/>
      <c r="TJU2" s="121"/>
      <c r="TJV2" s="121"/>
      <c r="TJW2" s="121"/>
      <c r="TJX2" s="121"/>
      <c r="TJY2" s="121"/>
      <c r="TJZ2" s="121"/>
      <c r="TKA2" s="121"/>
      <c r="TKB2" s="121"/>
      <c r="TKC2" s="121"/>
      <c r="TKD2" s="121"/>
      <c r="TKE2" s="121"/>
      <c r="TKF2" s="121"/>
      <c r="TKG2" s="121"/>
      <c r="TKH2" s="121"/>
      <c r="TKI2" s="121"/>
      <c r="TKJ2" s="121"/>
      <c r="TKK2" s="121"/>
      <c r="TKL2" s="121"/>
      <c r="TKM2" s="121"/>
      <c r="TKN2" s="121"/>
      <c r="TKO2" s="121"/>
      <c r="TKP2" s="121"/>
      <c r="TKQ2" s="121"/>
      <c r="TKR2" s="121"/>
      <c r="TKS2" s="121"/>
      <c r="TKT2" s="121"/>
      <c r="TKU2" s="121"/>
      <c r="TKV2" s="121"/>
      <c r="TKW2" s="121"/>
      <c r="TKX2" s="121"/>
      <c r="TKY2" s="121"/>
      <c r="TKZ2" s="121"/>
      <c r="TLA2" s="121"/>
      <c r="TLB2" s="121"/>
      <c r="TLC2" s="121"/>
      <c r="TLD2" s="121"/>
      <c r="TLE2" s="121"/>
      <c r="TLF2" s="121"/>
      <c r="TLG2" s="121"/>
      <c r="TLH2" s="121"/>
      <c r="TLI2" s="121"/>
      <c r="TLJ2" s="121"/>
      <c r="TLK2" s="121"/>
      <c r="TLL2" s="121"/>
      <c r="TLM2" s="121"/>
      <c r="TLN2" s="121"/>
      <c r="TLO2" s="121"/>
      <c r="TLP2" s="121"/>
      <c r="TLQ2" s="121"/>
      <c r="TLR2" s="121"/>
      <c r="TLS2" s="121"/>
      <c r="TLT2" s="121"/>
      <c r="TLU2" s="121"/>
      <c r="TLV2" s="121"/>
      <c r="TLW2" s="121"/>
      <c r="TLX2" s="121"/>
      <c r="TLY2" s="121"/>
      <c r="TLZ2" s="121"/>
      <c r="TMA2" s="121"/>
      <c r="TMB2" s="121"/>
      <c r="TMC2" s="121"/>
      <c r="TMD2" s="121"/>
      <c r="TME2" s="121"/>
      <c r="TMF2" s="121"/>
      <c r="TMG2" s="121"/>
      <c r="TMH2" s="121"/>
      <c r="TMI2" s="121"/>
      <c r="TMJ2" s="121"/>
      <c r="TMK2" s="121"/>
      <c r="TML2" s="121"/>
      <c r="TMM2" s="121"/>
      <c r="TMN2" s="121"/>
      <c r="TMO2" s="121"/>
      <c r="TMP2" s="121"/>
      <c r="TMQ2" s="121"/>
      <c r="TMR2" s="121"/>
      <c r="TMS2" s="121"/>
      <c r="TMT2" s="121"/>
      <c r="TMU2" s="121"/>
      <c r="TMV2" s="121"/>
      <c r="TMW2" s="121"/>
      <c r="TMX2" s="121"/>
      <c r="TMY2" s="121"/>
      <c r="TMZ2" s="121"/>
      <c r="TNA2" s="121"/>
      <c r="TNB2" s="121"/>
      <c r="TNC2" s="121"/>
      <c r="TND2" s="121"/>
      <c r="TNE2" s="121"/>
      <c r="TNF2" s="121"/>
      <c r="TNG2" s="121"/>
      <c r="TNH2" s="121"/>
      <c r="TNI2" s="121"/>
      <c r="TNJ2" s="121"/>
      <c r="TNK2" s="121"/>
      <c r="TNL2" s="121"/>
      <c r="TNM2" s="121"/>
      <c r="TNN2" s="121"/>
      <c r="TNO2" s="121"/>
      <c r="TNP2" s="121"/>
      <c r="TNQ2" s="121"/>
      <c r="TNR2" s="121"/>
      <c r="TNS2" s="121"/>
      <c r="TNT2" s="121"/>
      <c r="TNU2" s="121"/>
      <c r="TNV2" s="121"/>
      <c r="TNW2" s="121"/>
      <c r="TNX2" s="121"/>
      <c r="TNY2" s="121"/>
      <c r="TNZ2" s="121"/>
      <c r="TOA2" s="121"/>
      <c r="TOB2" s="121"/>
      <c r="TOC2" s="121"/>
      <c r="TOD2" s="121"/>
      <c r="TOE2" s="121"/>
      <c r="TOF2" s="121"/>
      <c r="TOG2" s="121"/>
      <c r="TOH2" s="121"/>
      <c r="TOI2" s="121"/>
      <c r="TOJ2" s="121"/>
      <c r="TOK2" s="121"/>
      <c r="TOL2" s="121"/>
      <c r="TOM2" s="121"/>
      <c r="TON2" s="121"/>
      <c r="TOO2" s="121"/>
      <c r="TOP2" s="121"/>
      <c r="TOQ2" s="121"/>
      <c r="TOR2" s="121"/>
      <c r="TOS2" s="121"/>
      <c r="TOT2" s="121"/>
      <c r="TOU2" s="121"/>
      <c r="TOV2" s="121"/>
      <c r="TOW2" s="121"/>
      <c r="TOX2" s="121"/>
      <c r="TOY2" s="121"/>
      <c r="TOZ2" s="121"/>
      <c r="TPA2" s="121"/>
      <c r="TPB2" s="121"/>
      <c r="TPC2" s="121"/>
      <c r="TPD2" s="121"/>
      <c r="TPE2" s="121"/>
      <c r="TPF2" s="121"/>
      <c r="TPG2" s="121"/>
      <c r="TPH2" s="121"/>
      <c r="TPI2" s="121"/>
      <c r="TPJ2" s="121"/>
      <c r="TPK2" s="121"/>
      <c r="TPL2" s="121"/>
      <c r="TPM2" s="121"/>
      <c r="TPN2" s="121"/>
      <c r="TPO2" s="121"/>
      <c r="TPP2" s="121"/>
      <c r="TPQ2" s="121"/>
      <c r="TPR2" s="121"/>
      <c r="TPS2" s="121"/>
      <c r="TPT2" s="121"/>
      <c r="TPU2" s="121"/>
      <c r="TPV2" s="121"/>
      <c r="TPW2" s="121"/>
      <c r="TPX2" s="121"/>
      <c r="TPY2" s="121"/>
      <c r="TPZ2" s="121"/>
      <c r="TQA2" s="121"/>
      <c r="TQB2" s="121"/>
      <c r="TQC2" s="121"/>
      <c r="TQD2" s="121"/>
      <c r="TQE2" s="121"/>
      <c r="TQF2" s="121"/>
      <c r="TQG2" s="121"/>
      <c r="TQH2" s="121"/>
      <c r="TQI2" s="121"/>
      <c r="TQJ2" s="121"/>
      <c r="TQK2" s="121"/>
      <c r="TQL2" s="121"/>
      <c r="TQM2" s="121"/>
      <c r="TQN2" s="121"/>
      <c r="TQO2" s="121"/>
      <c r="TQP2" s="121"/>
      <c r="TQQ2" s="121"/>
      <c r="TQR2" s="121"/>
      <c r="TQS2" s="121"/>
      <c r="TQT2" s="121"/>
      <c r="TQU2" s="121"/>
      <c r="TQV2" s="121"/>
      <c r="TQW2" s="121"/>
      <c r="TQX2" s="121"/>
      <c r="TQY2" s="121"/>
      <c r="TQZ2" s="121"/>
      <c r="TRA2" s="121"/>
      <c r="TRB2" s="121"/>
      <c r="TRC2" s="121"/>
      <c r="TRD2" s="121"/>
      <c r="TRE2" s="121"/>
      <c r="TRF2" s="121"/>
      <c r="TRG2" s="121"/>
      <c r="TRH2" s="121"/>
      <c r="TRI2" s="121"/>
      <c r="TRJ2" s="121"/>
      <c r="TRK2" s="121"/>
      <c r="TRL2" s="121"/>
      <c r="TRM2" s="121"/>
      <c r="TRN2" s="121"/>
      <c r="TRO2" s="121"/>
      <c r="TRP2" s="121"/>
      <c r="TRQ2" s="121"/>
      <c r="TRR2" s="121"/>
      <c r="TRS2" s="121"/>
      <c r="TRT2" s="121"/>
      <c r="TRU2" s="121"/>
      <c r="TRV2" s="121"/>
      <c r="TRW2" s="121"/>
      <c r="TRX2" s="121"/>
      <c r="TRY2" s="121"/>
      <c r="TRZ2" s="121"/>
      <c r="TSA2" s="121"/>
      <c r="TSB2" s="121"/>
      <c r="TSC2" s="121"/>
      <c r="TSD2" s="121"/>
      <c r="TSE2" s="121"/>
      <c r="TSF2" s="121"/>
      <c r="TSG2" s="121"/>
      <c r="TSH2" s="121"/>
      <c r="TSI2" s="121"/>
      <c r="TSJ2" s="121"/>
      <c r="TSK2" s="121"/>
      <c r="TSL2" s="121"/>
      <c r="TSM2" s="121"/>
      <c r="TSN2" s="121"/>
      <c r="TSO2" s="121"/>
      <c r="TSP2" s="121"/>
      <c r="TSQ2" s="121"/>
      <c r="TSR2" s="121"/>
      <c r="TSS2" s="121"/>
      <c r="TST2" s="121"/>
      <c r="TSU2" s="121"/>
      <c r="TSV2" s="121"/>
      <c r="TSW2" s="121"/>
      <c r="TSX2" s="121"/>
      <c r="TSY2" s="121"/>
      <c r="TSZ2" s="121"/>
      <c r="TTA2" s="121"/>
      <c r="TTB2" s="121"/>
      <c r="TTC2" s="121"/>
      <c r="TTD2" s="121"/>
      <c r="TTE2" s="121"/>
      <c r="TTF2" s="121"/>
      <c r="TTG2" s="121"/>
      <c r="TTH2" s="121"/>
      <c r="TTI2" s="121"/>
      <c r="TTJ2" s="121"/>
      <c r="TTK2" s="121"/>
      <c r="TTL2" s="121"/>
      <c r="TTM2" s="121"/>
      <c r="TTN2" s="121"/>
      <c r="TTO2" s="121"/>
      <c r="TTP2" s="121"/>
      <c r="TTQ2" s="121"/>
      <c r="TTR2" s="121"/>
      <c r="TTS2" s="121"/>
      <c r="TTT2" s="121"/>
      <c r="TTU2" s="121"/>
      <c r="TTV2" s="121"/>
      <c r="TTW2" s="121"/>
      <c r="TTX2" s="121"/>
      <c r="TTY2" s="121"/>
      <c r="TTZ2" s="121"/>
      <c r="TUA2" s="121"/>
      <c r="TUB2" s="121"/>
      <c r="TUC2" s="121"/>
      <c r="TUD2" s="121"/>
      <c r="TUE2" s="121"/>
      <c r="TUF2" s="121"/>
      <c r="TUG2" s="121"/>
      <c r="TUH2" s="121"/>
      <c r="TUI2" s="121"/>
      <c r="TUJ2" s="121"/>
      <c r="TUK2" s="121"/>
      <c r="TUL2" s="121"/>
      <c r="TUM2" s="121"/>
      <c r="TUN2" s="121"/>
      <c r="TUO2" s="121"/>
      <c r="TUP2" s="121"/>
      <c r="TUQ2" s="121"/>
      <c r="TUR2" s="121"/>
      <c r="TUS2" s="121"/>
      <c r="TUT2" s="121"/>
      <c r="TUU2" s="121"/>
      <c r="TUV2" s="121"/>
      <c r="TUW2" s="121"/>
      <c r="TUX2" s="121"/>
      <c r="TUY2" s="121"/>
      <c r="TUZ2" s="121"/>
      <c r="TVA2" s="121"/>
      <c r="TVB2" s="121"/>
      <c r="TVC2" s="121"/>
      <c r="TVD2" s="121"/>
      <c r="TVE2" s="121"/>
      <c r="TVF2" s="121"/>
      <c r="TVG2" s="121"/>
      <c r="TVH2" s="121"/>
      <c r="TVI2" s="121"/>
      <c r="TVJ2" s="121"/>
      <c r="TVK2" s="121"/>
      <c r="TVL2" s="121"/>
      <c r="TVM2" s="121"/>
      <c r="TVN2" s="121"/>
      <c r="TVO2" s="121"/>
      <c r="TVP2" s="121"/>
      <c r="TVQ2" s="121"/>
      <c r="TVR2" s="121"/>
      <c r="TVS2" s="121"/>
      <c r="TVT2" s="121"/>
      <c r="TVU2" s="121"/>
      <c r="TVV2" s="121"/>
      <c r="TVW2" s="121"/>
      <c r="TVX2" s="121"/>
      <c r="TVY2" s="121"/>
      <c r="TVZ2" s="121"/>
      <c r="TWA2" s="121"/>
      <c r="TWB2" s="121"/>
      <c r="TWC2" s="121"/>
      <c r="TWD2" s="121"/>
      <c r="TWE2" s="121"/>
      <c r="TWF2" s="121"/>
      <c r="TWG2" s="121"/>
      <c r="TWH2" s="121"/>
      <c r="TWI2" s="121"/>
      <c r="TWJ2" s="121"/>
      <c r="TWK2" s="121"/>
      <c r="TWL2" s="121"/>
      <c r="TWM2" s="121"/>
      <c r="TWN2" s="121"/>
      <c r="TWO2" s="121"/>
      <c r="TWP2" s="121"/>
      <c r="TWQ2" s="121"/>
      <c r="TWR2" s="121"/>
      <c r="TWS2" s="121"/>
      <c r="TWT2" s="121"/>
      <c r="TWU2" s="121"/>
      <c r="TWV2" s="121"/>
      <c r="TWW2" s="121"/>
      <c r="TWX2" s="121"/>
      <c r="TWY2" s="121"/>
      <c r="TWZ2" s="121"/>
      <c r="TXA2" s="121"/>
      <c r="TXB2" s="121"/>
      <c r="TXC2" s="121"/>
      <c r="TXD2" s="121"/>
      <c r="TXE2" s="121"/>
      <c r="TXF2" s="121"/>
      <c r="TXG2" s="121"/>
      <c r="TXH2" s="121"/>
      <c r="TXI2" s="121"/>
      <c r="TXJ2" s="121"/>
      <c r="TXK2" s="121"/>
      <c r="TXL2" s="121"/>
      <c r="TXM2" s="121"/>
      <c r="TXN2" s="121"/>
      <c r="TXO2" s="121"/>
      <c r="TXP2" s="121"/>
      <c r="TXQ2" s="121"/>
      <c r="TXR2" s="121"/>
      <c r="TXS2" s="121"/>
      <c r="TXT2" s="121"/>
      <c r="TXU2" s="121"/>
      <c r="TXV2" s="121"/>
      <c r="TXW2" s="121"/>
      <c r="TXX2" s="121"/>
      <c r="TXY2" s="121"/>
      <c r="TXZ2" s="121"/>
      <c r="TYA2" s="121"/>
      <c r="TYB2" s="121"/>
      <c r="TYC2" s="121"/>
      <c r="TYD2" s="121"/>
      <c r="TYE2" s="121"/>
      <c r="TYF2" s="121"/>
      <c r="TYG2" s="121"/>
      <c r="TYH2" s="121"/>
      <c r="TYI2" s="121"/>
      <c r="TYJ2" s="121"/>
      <c r="TYK2" s="121"/>
      <c r="TYL2" s="121"/>
      <c r="TYM2" s="121"/>
      <c r="TYN2" s="121"/>
      <c r="TYO2" s="121"/>
      <c r="TYP2" s="121"/>
      <c r="TYQ2" s="121"/>
      <c r="TYR2" s="121"/>
      <c r="TYS2" s="121"/>
      <c r="TYT2" s="121"/>
      <c r="TYU2" s="121"/>
      <c r="TYV2" s="121"/>
      <c r="TYW2" s="121"/>
      <c r="TYX2" s="121"/>
      <c r="TYY2" s="121"/>
      <c r="TYZ2" s="121"/>
      <c r="TZA2" s="121"/>
      <c r="TZB2" s="121"/>
      <c r="TZC2" s="121"/>
      <c r="TZD2" s="121"/>
      <c r="TZE2" s="121"/>
      <c r="TZF2" s="121"/>
      <c r="TZG2" s="121"/>
      <c r="TZH2" s="121"/>
      <c r="TZI2" s="121"/>
      <c r="TZJ2" s="121"/>
      <c r="TZK2" s="121"/>
      <c r="TZL2" s="121"/>
      <c r="TZM2" s="121"/>
      <c r="TZN2" s="121"/>
      <c r="TZO2" s="121"/>
      <c r="TZP2" s="121"/>
      <c r="TZQ2" s="121"/>
      <c r="TZR2" s="121"/>
      <c r="TZS2" s="121"/>
      <c r="TZT2" s="121"/>
      <c r="TZU2" s="121"/>
      <c r="TZV2" s="121"/>
      <c r="TZW2" s="121"/>
      <c r="TZX2" s="121"/>
      <c r="TZY2" s="121"/>
      <c r="TZZ2" s="121"/>
      <c r="UAA2" s="121"/>
      <c r="UAB2" s="121"/>
      <c r="UAC2" s="121"/>
      <c r="UAD2" s="121"/>
      <c r="UAE2" s="121"/>
      <c r="UAF2" s="121"/>
      <c r="UAG2" s="121"/>
      <c r="UAH2" s="121"/>
      <c r="UAI2" s="121"/>
      <c r="UAJ2" s="121"/>
      <c r="UAK2" s="121"/>
      <c r="UAL2" s="121"/>
      <c r="UAM2" s="121"/>
      <c r="UAN2" s="121"/>
      <c r="UAO2" s="121"/>
      <c r="UAP2" s="121"/>
      <c r="UAQ2" s="121"/>
      <c r="UAR2" s="121"/>
      <c r="UAS2" s="121"/>
      <c r="UAT2" s="121"/>
      <c r="UAU2" s="121"/>
      <c r="UAV2" s="121"/>
      <c r="UAW2" s="121"/>
      <c r="UAX2" s="121"/>
      <c r="UAY2" s="121"/>
      <c r="UAZ2" s="121"/>
      <c r="UBA2" s="121"/>
      <c r="UBB2" s="121"/>
      <c r="UBC2" s="121"/>
      <c r="UBD2" s="121"/>
      <c r="UBE2" s="121"/>
      <c r="UBF2" s="121"/>
      <c r="UBG2" s="121"/>
      <c r="UBH2" s="121"/>
      <c r="UBI2" s="121"/>
      <c r="UBJ2" s="121"/>
      <c r="UBK2" s="121"/>
      <c r="UBL2" s="121"/>
      <c r="UBM2" s="121"/>
      <c r="UBN2" s="121"/>
      <c r="UBO2" s="121"/>
      <c r="UBP2" s="121"/>
      <c r="UBQ2" s="121"/>
      <c r="UBR2" s="121"/>
      <c r="UBS2" s="121"/>
      <c r="UBT2" s="121"/>
      <c r="UBU2" s="121"/>
      <c r="UBV2" s="121"/>
      <c r="UBW2" s="121"/>
      <c r="UBX2" s="121"/>
      <c r="UBY2" s="121"/>
      <c r="UBZ2" s="121"/>
      <c r="UCA2" s="121"/>
      <c r="UCB2" s="121"/>
      <c r="UCC2" s="121"/>
      <c r="UCD2" s="121"/>
      <c r="UCE2" s="121"/>
      <c r="UCF2" s="121"/>
      <c r="UCG2" s="121"/>
      <c r="UCH2" s="121"/>
      <c r="UCI2" s="121"/>
      <c r="UCJ2" s="121"/>
      <c r="UCK2" s="121"/>
      <c r="UCL2" s="121"/>
      <c r="UCM2" s="121"/>
      <c r="UCN2" s="121"/>
      <c r="UCO2" s="121"/>
      <c r="UCP2" s="121"/>
      <c r="UCQ2" s="121"/>
      <c r="UCR2" s="121"/>
      <c r="UCS2" s="121"/>
      <c r="UCT2" s="121"/>
      <c r="UCU2" s="121"/>
      <c r="UCV2" s="121"/>
      <c r="UCW2" s="121"/>
      <c r="UCX2" s="121"/>
      <c r="UCY2" s="121"/>
      <c r="UCZ2" s="121"/>
      <c r="UDA2" s="121"/>
      <c r="UDB2" s="121"/>
      <c r="UDC2" s="121"/>
      <c r="UDD2" s="121"/>
      <c r="UDE2" s="121"/>
      <c r="UDF2" s="121"/>
      <c r="UDG2" s="121"/>
      <c r="UDH2" s="121"/>
      <c r="UDI2" s="121"/>
      <c r="UDJ2" s="121"/>
      <c r="UDK2" s="121"/>
      <c r="UDL2" s="121"/>
      <c r="UDM2" s="121"/>
      <c r="UDN2" s="121"/>
      <c r="UDO2" s="121"/>
      <c r="UDP2" s="121"/>
      <c r="UDQ2" s="121"/>
      <c r="UDR2" s="121"/>
      <c r="UDS2" s="121"/>
      <c r="UDT2" s="121"/>
      <c r="UDU2" s="121"/>
      <c r="UDV2" s="121"/>
      <c r="UDW2" s="121"/>
      <c r="UDX2" s="121"/>
      <c r="UDY2" s="121"/>
      <c r="UDZ2" s="121"/>
      <c r="UEA2" s="121"/>
      <c r="UEB2" s="121"/>
      <c r="UEC2" s="121"/>
      <c r="UED2" s="121"/>
      <c r="UEE2" s="121"/>
      <c r="UEF2" s="121"/>
      <c r="UEG2" s="121"/>
      <c r="UEH2" s="121"/>
      <c r="UEI2" s="121"/>
      <c r="UEJ2" s="121"/>
      <c r="UEK2" s="121"/>
      <c r="UEL2" s="121"/>
      <c r="UEM2" s="121"/>
      <c r="UEN2" s="121"/>
      <c r="UEO2" s="121"/>
      <c r="UEP2" s="121"/>
      <c r="UEQ2" s="121"/>
      <c r="UER2" s="121"/>
      <c r="UES2" s="121"/>
      <c r="UET2" s="121"/>
      <c r="UEU2" s="121"/>
      <c r="UEV2" s="121"/>
      <c r="UEW2" s="121"/>
      <c r="UEX2" s="121"/>
      <c r="UEY2" s="121"/>
      <c r="UEZ2" s="121"/>
      <c r="UFA2" s="121"/>
      <c r="UFB2" s="121"/>
      <c r="UFC2" s="121"/>
      <c r="UFD2" s="121"/>
      <c r="UFE2" s="121"/>
      <c r="UFF2" s="121"/>
      <c r="UFG2" s="121"/>
      <c r="UFH2" s="121"/>
      <c r="UFI2" s="121"/>
      <c r="UFJ2" s="121"/>
      <c r="UFK2" s="121"/>
      <c r="UFL2" s="121"/>
      <c r="UFM2" s="121"/>
      <c r="UFN2" s="121"/>
      <c r="UFO2" s="121"/>
      <c r="UFP2" s="121"/>
      <c r="UFQ2" s="121"/>
      <c r="UFR2" s="121"/>
      <c r="UFS2" s="121"/>
      <c r="UFT2" s="121"/>
      <c r="UFU2" s="121"/>
      <c r="UFV2" s="121"/>
      <c r="UFW2" s="121"/>
      <c r="UFX2" s="121"/>
      <c r="UFY2" s="121"/>
      <c r="UFZ2" s="121"/>
      <c r="UGA2" s="121"/>
      <c r="UGB2" s="121"/>
      <c r="UGC2" s="121"/>
      <c r="UGD2" s="121"/>
      <c r="UGE2" s="121"/>
      <c r="UGF2" s="121"/>
      <c r="UGG2" s="121"/>
      <c r="UGH2" s="121"/>
      <c r="UGI2" s="121"/>
      <c r="UGJ2" s="121"/>
      <c r="UGK2" s="121"/>
      <c r="UGL2" s="121"/>
      <c r="UGM2" s="121"/>
      <c r="UGN2" s="121"/>
      <c r="UGO2" s="121"/>
      <c r="UGP2" s="121"/>
      <c r="UGQ2" s="121"/>
      <c r="UGR2" s="121"/>
      <c r="UGS2" s="121"/>
      <c r="UGT2" s="121"/>
      <c r="UGU2" s="121"/>
      <c r="UGV2" s="121"/>
      <c r="UGW2" s="121"/>
      <c r="UGX2" s="121"/>
      <c r="UGY2" s="121"/>
      <c r="UGZ2" s="121"/>
      <c r="UHA2" s="121"/>
      <c r="UHB2" s="121"/>
      <c r="UHC2" s="121"/>
      <c r="UHD2" s="121"/>
      <c r="UHE2" s="121"/>
      <c r="UHF2" s="121"/>
      <c r="UHG2" s="121"/>
      <c r="UHH2" s="121"/>
      <c r="UHI2" s="121"/>
      <c r="UHJ2" s="121"/>
      <c r="UHK2" s="121"/>
      <c r="UHL2" s="121"/>
      <c r="UHM2" s="121"/>
      <c r="UHN2" s="121"/>
      <c r="UHO2" s="121"/>
      <c r="UHP2" s="121"/>
      <c r="UHQ2" s="121"/>
      <c r="UHR2" s="121"/>
      <c r="UHS2" s="121"/>
      <c r="UHT2" s="121"/>
      <c r="UHU2" s="121"/>
      <c r="UHV2" s="121"/>
      <c r="UHW2" s="121"/>
      <c r="UHX2" s="121"/>
      <c r="UHY2" s="121"/>
      <c r="UHZ2" s="121"/>
      <c r="UIA2" s="121"/>
      <c r="UIB2" s="121"/>
      <c r="UIC2" s="121"/>
      <c r="UID2" s="121"/>
      <c r="UIE2" s="121"/>
      <c r="UIF2" s="121"/>
      <c r="UIG2" s="121"/>
      <c r="UIH2" s="121"/>
      <c r="UII2" s="121"/>
      <c r="UIJ2" s="121"/>
      <c r="UIK2" s="121"/>
      <c r="UIL2" s="121"/>
      <c r="UIM2" s="121"/>
      <c r="UIN2" s="121"/>
      <c r="UIO2" s="121"/>
      <c r="UIP2" s="121"/>
      <c r="UIQ2" s="121"/>
      <c r="UIR2" s="121"/>
      <c r="UIS2" s="121"/>
      <c r="UIT2" s="121"/>
      <c r="UIU2" s="121"/>
      <c r="UIV2" s="121"/>
      <c r="UIW2" s="121"/>
      <c r="UIX2" s="121"/>
      <c r="UIY2" s="121"/>
      <c r="UIZ2" s="121"/>
      <c r="UJA2" s="121"/>
      <c r="UJB2" s="121"/>
      <c r="UJC2" s="121"/>
      <c r="UJD2" s="121"/>
      <c r="UJE2" s="121"/>
      <c r="UJF2" s="121"/>
      <c r="UJG2" s="121"/>
      <c r="UJH2" s="121"/>
      <c r="UJI2" s="121"/>
      <c r="UJJ2" s="121"/>
      <c r="UJK2" s="121"/>
      <c r="UJL2" s="121"/>
      <c r="UJM2" s="121"/>
      <c r="UJN2" s="121"/>
      <c r="UJO2" s="121"/>
      <c r="UJP2" s="121"/>
      <c r="UJQ2" s="121"/>
      <c r="UJR2" s="121"/>
      <c r="UJS2" s="121"/>
      <c r="UJT2" s="121"/>
      <c r="UJU2" s="121"/>
      <c r="UJV2" s="121"/>
      <c r="UJW2" s="121"/>
      <c r="UJX2" s="121"/>
      <c r="UJY2" s="121"/>
      <c r="UJZ2" s="121"/>
      <c r="UKA2" s="121"/>
      <c r="UKB2" s="121"/>
      <c r="UKC2" s="121"/>
      <c r="UKD2" s="121"/>
      <c r="UKE2" s="121"/>
      <c r="UKF2" s="121"/>
      <c r="UKG2" s="121"/>
      <c r="UKH2" s="121"/>
      <c r="UKI2" s="121"/>
      <c r="UKJ2" s="121"/>
      <c r="UKK2" s="121"/>
      <c r="UKL2" s="121"/>
      <c r="UKM2" s="121"/>
      <c r="UKN2" s="121"/>
      <c r="UKO2" s="121"/>
      <c r="UKP2" s="121"/>
      <c r="UKQ2" s="121"/>
      <c r="UKR2" s="121"/>
      <c r="UKS2" s="121"/>
      <c r="UKT2" s="121"/>
      <c r="UKU2" s="121"/>
      <c r="UKV2" s="121"/>
      <c r="UKW2" s="121"/>
      <c r="UKX2" s="121"/>
      <c r="UKY2" s="121"/>
      <c r="UKZ2" s="121"/>
      <c r="ULA2" s="121"/>
      <c r="ULB2" s="121"/>
      <c r="ULC2" s="121"/>
      <c r="ULD2" s="121"/>
      <c r="ULE2" s="121"/>
      <c r="ULF2" s="121"/>
      <c r="ULG2" s="121"/>
      <c r="ULH2" s="121"/>
      <c r="ULI2" s="121"/>
      <c r="ULJ2" s="121"/>
      <c r="ULK2" s="121"/>
      <c r="ULL2" s="121"/>
      <c r="ULM2" s="121"/>
      <c r="ULN2" s="121"/>
      <c r="ULO2" s="121"/>
      <c r="ULP2" s="121"/>
      <c r="ULQ2" s="121"/>
      <c r="ULR2" s="121"/>
      <c r="ULS2" s="121"/>
      <c r="ULT2" s="121"/>
      <c r="ULU2" s="121"/>
      <c r="ULV2" s="121"/>
      <c r="ULW2" s="121"/>
      <c r="ULX2" s="121"/>
      <c r="ULY2" s="121"/>
      <c r="ULZ2" s="121"/>
      <c r="UMA2" s="121"/>
      <c r="UMB2" s="121"/>
      <c r="UMC2" s="121"/>
      <c r="UMD2" s="121"/>
      <c r="UME2" s="121"/>
      <c r="UMF2" s="121"/>
      <c r="UMG2" s="121"/>
      <c r="UMH2" s="121"/>
      <c r="UMI2" s="121"/>
      <c r="UMJ2" s="121"/>
      <c r="UMK2" s="121"/>
      <c r="UML2" s="121"/>
      <c r="UMM2" s="121"/>
      <c r="UMN2" s="121"/>
      <c r="UMO2" s="121"/>
      <c r="UMP2" s="121"/>
      <c r="UMQ2" s="121"/>
      <c r="UMR2" s="121"/>
      <c r="UMS2" s="121"/>
      <c r="UMT2" s="121"/>
      <c r="UMU2" s="121"/>
      <c r="UMV2" s="121"/>
      <c r="UMW2" s="121"/>
      <c r="UMX2" s="121"/>
      <c r="UMY2" s="121"/>
      <c r="UMZ2" s="121"/>
      <c r="UNA2" s="121"/>
      <c r="UNB2" s="121"/>
      <c r="UNC2" s="121"/>
      <c r="UND2" s="121"/>
      <c r="UNE2" s="121"/>
      <c r="UNF2" s="121"/>
      <c r="UNG2" s="121"/>
      <c r="UNH2" s="121"/>
      <c r="UNI2" s="121"/>
      <c r="UNJ2" s="121"/>
      <c r="UNK2" s="121"/>
      <c r="UNL2" s="121"/>
      <c r="UNM2" s="121"/>
      <c r="UNN2" s="121"/>
      <c r="UNO2" s="121"/>
      <c r="UNP2" s="121"/>
      <c r="UNQ2" s="121"/>
      <c r="UNR2" s="121"/>
      <c r="UNS2" s="121"/>
      <c r="UNT2" s="121"/>
      <c r="UNU2" s="121"/>
      <c r="UNV2" s="121"/>
      <c r="UNW2" s="121"/>
      <c r="UNX2" s="121"/>
      <c r="UNY2" s="121"/>
      <c r="UNZ2" s="121"/>
      <c r="UOA2" s="121"/>
      <c r="UOB2" s="121"/>
      <c r="UOC2" s="121"/>
      <c r="UOD2" s="121"/>
      <c r="UOE2" s="121"/>
      <c r="UOF2" s="121"/>
      <c r="UOG2" s="121"/>
      <c r="UOH2" s="121"/>
      <c r="UOI2" s="121"/>
      <c r="UOJ2" s="121"/>
      <c r="UOK2" s="121"/>
      <c r="UOL2" s="121"/>
      <c r="UOM2" s="121"/>
      <c r="UON2" s="121"/>
      <c r="UOO2" s="121"/>
      <c r="UOP2" s="121"/>
      <c r="UOQ2" s="121"/>
      <c r="UOR2" s="121"/>
      <c r="UOS2" s="121"/>
      <c r="UOT2" s="121"/>
      <c r="UOU2" s="121"/>
      <c r="UOV2" s="121"/>
      <c r="UOW2" s="121"/>
      <c r="UOX2" s="121"/>
      <c r="UOY2" s="121"/>
      <c r="UOZ2" s="121"/>
      <c r="UPA2" s="121"/>
      <c r="UPB2" s="121"/>
      <c r="UPC2" s="121"/>
      <c r="UPD2" s="121"/>
      <c r="UPE2" s="121"/>
      <c r="UPF2" s="121"/>
      <c r="UPG2" s="121"/>
      <c r="UPH2" s="121"/>
      <c r="UPI2" s="121"/>
      <c r="UPJ2" s="121"/>
      <c r="UPK2" s="121"/>
      <c r="UPL2" s="121"/>
      <c r="UPM2" s="121"/>
      <c r="UPN2" s="121"/>
      <c r="UPO2" s="121"/>
      <c r="UPP2" s="121"/>
      <c r="UPQ2" s="121"/>
      <c r="UPR2" s="121"/>
      <c r="UPS2" s="121"/>
      <c r="UPT2" s="121"/>
      <c r="UPU2" s="121"/>
      <c r="UPV2" s="121"/>
      <c r="UPW2" s="121"/>
      <c r="UPX2" s="121"/>
      <c r="UPY2" s="121"/>
      <c r="UPZ2" s="121"/>
      <c r="UQA2" s="121"/>
      <c r="UQB2" s="121"/>
      <c r="UQC2" s="121"/>
      <c r="UQD2" s="121"/>
      <c r="UQE2" s="121"/>
      <c r="UQF2" s="121"/>
      <c r="UQG2" s="121"/>
      <c r="UQH2" s="121"/>
      <c r="UQI2" s="121"/>
      <c r="UQJ2" s="121"/>
      <c r="UQK2" s="121"/>
      <c r="UQL2" s="121"/>
      <c r="UQM2" s="121"/>
      <c r="UQN2" s="121"/>
      <c r="UQO2" s="121"/>
      <c r="UQP2" s="121"/>
      <c r="UQQ2" s="121"/>
      <c r="UQR2" s="121"/>
      <c r="UQS2" s="121"/>
      <c r="UQT2" s="121"/>
      <c r="UQU2" s="121"/>
      <c r="UQV2" s="121"/>
      <c r="UQW2" s="121"/>
      <c r="UQX2" s="121"/>
      <c r="UQY2" s="121"/>
      <c r="UQZ2" s="121"/>
      <c r="URA2" s="121"/>
      <c r="URB2" s="121"/>
      <c r="URC2" s="121"/>
      <c r="URD2" s="121"/>
      <c r="URE2" s="121"/>
      <c r="URF2" s="121"/>
      <c r="URG2" s="121"/>
      <c r="URH2" s="121"/>
      <c r="URI2" s="121"/>
      <c r="URJ2" s="121"/>
      <c r="URK2" s="121"/>
      <c r="URL2" s="121"/>
      <c r="URM2" s="121"/>
      <c r="URN2" s="121"/>
      <c r="URO2" s="121"/>
      <c r="URP2" s="121"/>
      <c r="URQ2" s="121"/>
      <c r="URR2" s="121"/>
      <c r="URS2" s="121"/>
      <c r="URT2" s="121"/>
      <c r="URU2" s="121"/>
      <c r="URV2" s="121"/>
      <c r="URW2" s="121"/>
      <c r="URX2" s="121"/>
      <c r="URY2" s="121"/>
      <c r="URZ2" s="121"/>
      <c r="USA2" s="121"/>
      <c r="USB2" s="121"/>
      <c r="USC2" s="121"/>
      <c r="USD2" s="121"/>
      <c r="USE2" s="121"/>
      <c r="USF2" s="121"/>
      <c r="USG2" s="121"/>
      <c r="USH2" s="121"/>
      <c r="USI2" s="121"/>
      <c r="USJ2" s="121"/>
      <c r="USK2" s="121"/>
      <c r="USL2" s="121"/>
      <c r="USM2" s="121"/>
      <c r="USN2" s="121"/>
      <c r="USO2" s="121"/>
      <c r="USP2" s="121"/>
      <c r="USQ2" s="121"/>
      <c r="USR2" s="121"/>
      <c r="USS2" s="121"/>
      <c r="UST2" s="121"/>
      <c r="USU2" s="121"/>
      <c r="USV2" s="121"/>
      <c r="USW2" s="121"/>
      <c r="USX2" s="121"/>
      <c r="USY2" s="121"/>
      <c r="USZ2" s="121"/>
      <c r="UTA2" s="121"/>
      <c r="UTB2" s="121"/>
      <c r="UTC2" s="121"/>
      <c r="UTD2" s="121"/>
      <c r="UTE2" s="121"/>
      <c r="UTF2" s="121"/>
      <c r="UTG2" s="121"/>
      <c r="UTH2" s="121"/>
      <c r="UTI2" s="121"/>
      <c r="UTJ2" s="121"/>
      <c r="UTK2" s="121"/>
      <c r="UTL2" s="121"/>
      <c r="UTM2" s="121"/>
      <c r="UTN2" s="121"/>
      <c r="UTO2" s="121"/>
      <c r="UTP2" s="121"/>
      <c r="UTQ2" s="121"/>
      <c r="UTR2" s="121"/>
      <c r="UTS2" s="121"/>
      <c r="UTT2" s="121"/>
      <c r="UTU2" s="121"/>
      <c r="UTV2" s="121"/>
      <c r="UTW2" s="121"/>
      <c r="UTX2" s="121"/>
      <c r="UTY2" s="121"/>
      <c r="UTZ2" s="121"/>
      <c r="UUA2" s="121"/>
      <c r="UUB2" s="121"/>
      <c r="UUC2" s="121"/>
      <c r="UUD2" s="121"/>
      <c r="UUE2" s="121"/>
      <c r="UUF2" s="121"/>
      <c r="UUG2" s="121"/>
      <c r="UUH2" s="121"/>
      <c r="UUI2" s="121"/>
      <c r="UUJ2" s="121"/>
      <c r="UUK2" s="121"/>
      <c r="UUL2" s="121"/>
      <c r="UUM2" s="121"/>
      <c r="UUN2" s="121"/>
      <c r="UUO2" s="121"/>
      <c r="UUP2" s="121"/>
      <c r="UUQ2" s="121"/>
      <c r="UUR2" s="121"/>
      <c r="UUS2" s="121"/>
      <c r="UUT2" s="121"/>
      <c r="UUU2" s="121"/>
      <c r="UUV2" s="121"/>
      <c r="UUW2" s="121"/>
      <c r="UUX2" s="121"/>
      <c r="UUY2" s="121"/>
      <c r="UUZ2" s="121"/>
      <c r="UVA2" s="121"/>
      <c r="UVB2" s="121"/>
      <c r="UVC2" s="121"/>
      <c r="UVD2" s="121"/>
      <c r="UVE2" s="121"/>
      <c r="UVF2" s="121"/>
      <c r="UVG2" s="121"/>
      <c r="UVH2" s="121"/>
      <c r="UVI2" s="121"/>
      <c r="UVJ2" s="121"/>
      <c r="UVK2" s="121"/>
      <c r="UVL2" s="121"/>
      <c r="UVM2" s="121"/>
      <c r="UVN2" s="121"/>
      <c r="UVO2" s="121"/>
      <c r="UVP2" s="121"/>
      <c r="UVQ2" s="121"/>
      <c r="UVR2" s="121"/>
      <c r="UVS2" s="121"/>
      <c r="UVT2" s="121"/>
      <c r="UVU2" s="121"/>
      <c r="UVV2" s="121"/>
      <c r="UVW2" s="121"/>
      <c r="UVX2" s="121"/>
      <c r="UVY2" s="121"/>
      <c r="UVZ2" s="121"/>
      <c r="UWA2" s="121"/>
      <c r="UWB2" s="121"/>
      <c r="UWC2" s="121"/>
      <c r="UWD2" s="121"/>
      <c r="UWE2" s="121"/>
      <c r="UWF2" s="121"/>
      <c r="UWG2" s="121"/>
      <c r="UWH2" s="121"/>
      <c r="UWI2" s="121"/>
      <c r="UWJ2" s="121"/>
      <c r="UWK2" s="121"/>
      <c r="UWL2" s="121"/>
      <c r="UWM2" s="121"/>
      <c r="UWN2" s="121"/>
      <c r="UWO2" s="121"/>
      <c r="UWP2" s="121"/>
      <c r="UWQ2" s="121"/>
      <c r="UWR2" s="121"/>
      <c r="UWS2" s="121"/>
      <c r="UWT2" s="121"/>
      <c r="UWU2" s="121"/>
      <c r="UWV2" s="121"/>
      <c r="UWW2" s="121"/>
      <c r="UWX2" s="121"/>
      <c r="UWY2" s="121"/>
      <c r="UWZ2" s="121"/>
      <c r="UXA2" s="121"/>
      <c r="UXB2" s="121"/>
      <c r="UXC2" s="121"/>
      <c r="UXD2" s="121"/>
      <c r="UXE2" s="121"/>
      <c r="UXF2" s="121"/>
      <c r="UXG2" s="121"/>
      <c r="UXH2" s="121"/>
      <c r="UXI2" s="121"/>
      <c r="UXJ2" s="121"/>
      <c r="UXK2" s="121"/>
      <c r="UXL2" s="121"/>
      <c r="UXM2" s="121"/>
      <c r="UXN2" s="121"/>
      <c r="UXO2" s="121"/>
      <c r="UXP2" s="121"/>
      <c r="UXQ2" s="121"/>
      <c r="UXR2" s="121"/>
      <c r="UXS2" s="121"/>
      <c r="UXT2" s="121"/>
      <c r="UXU2" s="121"/>
      <c r="UXV2" s="121"/>
      <c r="UXW2" s="121"/>
      <c r="UXX2" s="121"/>
      <c r="UXY2" s="121"/>
      <c r="UXZ2" s="121"/>
      <c r="UYA2" s="121"/>
      <c r="UYB2" s="121"/>
      <c r="UYC2" s="121"/>
      <c r="UYD2" s="121"/>
      <c r="UYE2" s="121"/>
      <c r="UYF2" s="121"/>
      <c r="UYG2" s="121"/>
      <c r="UYH2" s="121"/>
      <c r="UYI2" s="121"/>
      <c r="UYJ2" s="121"/>
      <c r="UYK2" s="121"/>
      <c r="UYL2" s="121"/>
      <c r="UYM2" s="121"/>
      <c r="UYN2" s="121"/>
      <c r="UYO2" s="121"/>
      <c r="UYP2" s="121"/>
      <c r="UYQ2" s="121"/>
      <c r="UYR2" s="121"/>
      <c r="UYS2" s="121"/>
      <c r="UYT2" s="121"/>
      <c r="UYU2" s="121"/>
      <c r="UYV2" s="121"/>
      <c r="UYW2" s="121"/>
      <c r="UYX2" s="121"/>
      <c r="UYY2" s="121"/>
      <c r="UYZ2" s="121"/>
      <c r="UZA2" s="121"/>
      <c r="UZB2" s="121"/>
      <c r="UZC2" s="121"/>
      <c r="UZD2" s="121"/>
      <c r="UZE2" s="121"/>
      <c r="UZF2" s="121"/>
      <c r="UZG2" s="121"/>
      <c r="UZH2" s="121"/>
      <c r="UZI2" s="121"/>
      <c r="UZJ2" s="121"/>
      <c r="UZK2" s="121"/>
      <c r="UZL2" s="121"/>
      <c r="UZM2" s="121"/>
      <c r="UZN2" s="121"/>
      <c r="UZO2" s="121"/>
      <c r="UZP2" s="121"/>
      <c r="UZQ2" s="121"/>
      <c r="UZR2" s="121"/>
      <c r="UZS2" s="121"/>
      <c r="UZT2" s="121"/>
      <c r="UZU2" s="121"/>
      <c r="UZV2" s="121"/>
      <c r="UZW2" s="121"/>
      <c r="UZX2" s="121"/>
      <c r="UZY2" s="121"/>
      <c r="UZZ2" s="121"/>
      <c r="VAA2" s="121"/>
      <c r="VAB2" s="121"/>
      <c r="VAC2" s="121"/>
      <c r="VAD2" s="121"/>
      <c r="VAE2" s="121"/>
      <c r="VAF2" s="121"/>
      <c r="VAG2" s="121"/>
      <c r="VAH2" s="121"/>
      <c r="VAI2" s="121"/>
      <c r="VAJ2" s="121"/>
      <c r="VAK2" s="121"/>
      <c r="VAL2" s="121"/>
      <c r="VAM2" s="121"/>
      <c r="VAN2" s="121"/>
      <c r="VAO2" s="121"/>
      <c r="VAP2" s="121"/>
      <c r="VAQ2" s="121"/>
      <c r="VAR2" s="121"/>
      <c r="VAS2" s="121"/>
      <c r="VAT2" s="121"/>
      <c r="VAU2" s="121"/>
      <c r="VAV2" s="121"/>
      <c r="VAW2" s="121"/>
      <c r="VAX2" s="121"/>
      <c r="VAY2" s="121"/>
      <c r="VAZ2" s="121"/>
      <c r="VBA2" s="121"/>
      <c r="VBB2" s="121"/>
      <c r="VBC2" s="121"/>
      <c r="VBD2" s="121"/>
      <c r="VBE2" s="121"/>
      <c r="VBF2" s="121"/>
      <c r="VBG2" s="121"/>
      <c r="VBH2" s="121"/>
      <c r="VBI2" s="121"/>
      <c r="VBJ2" s="121"/>
      <c r="VBK2" s="121"/>
      <c r="VBL2" s="121"/>
      <c r="VBM2" s="121"/>
      <c r="VBN2" s="121"/>
      <c r="VBO2" s="121"/>
      <c r="VBP2" s="121"/>
      <c r="VBQ2" s="121"/>
      <c r="VBR2" s="121"/>
      <c r="VBS2" s="121"/>
      <c r="VBT2" s="121"/>
      <c r="VBU2" s="121"/>
      <c r="VBV2" s="121"/>
      <c r="VBW2" s="121"/>
      <c r="VBX2" s="121"/>
      <c r="VBY2" s="121"/>
      <c r="VBZ2" s="121"/>
      <c r="VCA2" s="121"/>
      <c r="VCB2" s="121"/>
      <c r="VCC2" s="121"/>
      <c r="VCD2" s="121"/>
      <c r="VCE2" s="121"/>
      <c r="VCF2" s="121"/>
      <c r="VCG2" s="121"/>
      <c r="VCH2" s="121"/>
      <c r="VCI2" s="121"/>
      <c r="VCJ2" s="121"/>
      <c r="VCK2" s="121"/>
      <c r="VCL2" s="121"/>
      <c r="VCM2" s="121"/>
      <c r="VCN2" s="121"/>
      <c r="VCO2" s="121"/>
      <c r="VCP2" s="121"/>
      <c r="VCQ2" s="121"/>
      <c r="VCR2" s="121"/>
      <c r="VCS2" s="121"/>
      <c r="VCT2" s="121"/>
      <c r="VCU2" s="121"/>
      <c r="VCV2" s="121"/>
      <c r="VCW2" s="121"/>
      <c r="VCX2" s="121"/>
      <c r="VCY2" s="121"/>
      <c r="VCZ2" s="121"/>
      <c r="VDA2" s="121"/>
      <c r="VDB2" s="121"/>
      <c r="VDC2" s="121"/>
      <c r="VDD2" s="121"/>
      <c r="VDE2" s="121"/>
      <c r="VDF2" s="121"/>
      <c r="VDG2" s="121"/>
      <c r="VDH2" s="121"/>
      <c r="VDI2" s="121"/>
      <c r="VDJ2" s="121"/>
      <c r="VDK2" s="121"/>
      <c r="VDL2" s="121"/>
      <c r="VDM2" s="121"/>
      <c r="VDN2" s="121"/>
      <c r="VDO2" s="121"/>
      <c r="VDP2" s="121"/>
      <c r="VDQ2" s="121"/>
      <c r="VDR2" s="121"/>
      <c r="VDS2" s="121"/>
      <c r="VDT2" s="121"/>
      <c r="VDU2" s="121"/>
      <c r="VDV2" s="121"/>
      <c r="VDW2" s="121"/>
      <c r="VDX2" s="121"/>
      <c r="VDY2" s="121"/>
      <c r="VDZ2" s="121"/>
      <c r="VEA2" s="121"/>
      <c r="VEB2" s="121"/>
      <c r="VEC2" s="121"/>
      <c r="VED2" s="121"/>
      <c r="VEE2" s="121"/>
      <c r="VEF2" s="121"/>
      <c r="VEG2" s="121"/>
      <c r="VEH2" s="121"/>
      <c r="VEI2" s="121"/>
      <c r="VEJ2" s="121"/>
      <c r="VEK2" s="121"/>
      <c r="VEL2" s="121"/>
      <c r="VEM2" s="121"/>
      <c r="VEN2" s="121"/>
      <c r="VEO2" s="121"/>
      <c r="VEP2" s="121"/>
      <c r="VEQ2" s="121"/>
      <c r="VER2" s="121"/>
      <c r="VES2" s="121"/>
      <c r="VET2" s="121"/>
      <c r="VEU2" s="121"/>
      <c r="VEV2" s="121"/>
      <c r="VEW2" s="121"/>
      <c r="VEX2" s="121"/>
      <c r="VEY2" s="121"/>
      <c r="VEZ2" s="121"/>
      <c r="VFA2" s="121"/>
      <c r="VFB2" s="121"/>
      <c r="VFC2" s="121"/>
      <c r="VFD2" s="121"/>
      <c r="VFE2" s="121"/>
      <c r="VFF2" s="121"/>
      <c r="VFG2" s="121"/>
      <c r="VFH2" s="121"/>
      <c r="VFI2" s="121"/>
      <c r="VFJ2" s="121"/>
      <c r="VFK2" s="121"/>
      <c r="VFL2" s="121"/>
      <c r="VFM2" s="121"/>
      <c r="VFN2" s="121"/>
      <c r="VFO2" s="121"/>
      <c r="VFP2" s="121"/>
      <c r="VFQ2" s="121"/>
      <c r="VFR2" s="121"/>
      <c r="VFS2" s="121"/>
      <c r="VFT2" s="121"/>
      <c r="VFU2" s="121"/>
      <c r="VFV2" s="121"/>
      <c r="VFW2" s="121"/>
      <c r="VFX2" s="121"/>
      <c r="VFY2" s="121"/>
      <c r="VFZ2" s="121"/>
      <c r="VGA2" s="121"/>
      <c r="VGB2" s="121"/>
      <c r="VGC2" s="121"/>
      <c r="VGD2" s="121"/>
      <c r="VGE2" s="121"/>
      <c r="VGF2" s="121"/>
      <c r="VGG2" s="121"/>
      <c r="VGH2" s="121"/>
      <c r="VGI2" s="121"/>
      <c r="VGJ2" s="121"/>
      <c r="VGK2" s="121"/>
      <c r="VGL2" s="121"/>
      <c r="VGM2" s="121"/>
      <c r="VGN2" s="121"/>
      <c r="VGO2" s="121"/>
      <c r="VGP2" s="121"/>
      <c r="VGQ2" s="121"/>
      <c r="VGR2" s="121"/>
      <c r="VGS2" s="121"/>
      <c r="VGT2" s="121"/>
      <c r="VGU2" s="121"/>
      <c r="VGV2" s="121"/>
      <c r="VGW2" s="121"/>
      <c r="VGX2" s="121"/>
      <c r="VGY2" s="121"/>
      <c r="VGZ2" s="121"/>
      <c r="VHA2" s="121"/>
      <c r="VHB2" s="121"/>
      <c r="VHC2" s="121"/>
      <c r="VHD2" s="121"/>
      <c r="VHE2" s="121"/>
      <c r="VHF2" s="121"/>
      <c r="VHG2" s="121"/>
      <c r="VHH2" s="121"/>
      <c r="VHI2" s="121"/>
      <c r="VHJ2" s="121"/>
      <c r="VHK2" s="121"/>
      <c r="VHL2" s="121"/>
      <c r="VHM2" s="121"/>
      <c r="VHN2" s="121"/>
      <c r="VHO2" s="121"/>
      <c r="VHP2" s="121"/>
      <c r="VHQ2" s="121"/>
      <c r="VHR2" s="121"/>
      <c r="VHS2" s="121"/>
      <c r="VHT2" s="121"/>
      <c r="VHU2" s="121"/>
      <c r="VHV2" s="121"/>
      <c r="VHW2" s="121"/>
      <c r="VHX2" s="121"/>
      <c r="VHY2" s="121"/>
      <c r="VHZ2" s="121"/>
      <c r="VIA2" s="121"/>
      <c r="VIB2" s="121"/>
      <c r="VIC2" s="121"/>
      <c r="VID2" s="121"/>
      <c r="VIE2" s="121"/>
      <c r="VIF2" s="121"/>
      <c r="VIG2" s="121"/>
      <c r="VIH2" s="121"/>
      <c r="VII2" s="121"/>
      <c r="VIJ2" s="121"/>
      <c r="VIK2" s="121"/>
      <c r="VIL2" s="121"/>
      <c r="VIM2" s="121"/>
      <c r="VIN2" s="121"/>
      <c r="VIO2" s="121"/>
      <c r="VIP2" s="121"/>
      <c r="VIQ2" s="121"/>
      <c r="VIR2" s="121"/>
      <c r="VIS2" s="121"/>
      <c r="VIT2" s="121"/>
      <c r="VIU2" s="121"/>
      <c r="VIV2" s="121"/>
      <c r="VIW2" s="121"/>
      <c r="VIX2" s="121"/>
      <c r="VIY2" s="121"/>
      <c r="VIZ2" s="121"/>
      <c r="VJA2" s="121"/>
      <c r="VJB2" s="121"/>
      <c r="VJC2" s="121"/>
      <c r="VJD2" s="121"/>
      <c r="VJE2" s="121"/>
      <c r="VJF2" s="121"/>
      <c r="VJG2" s="121"/>
      <c r="VJH2" s="121"/>
      <c r="VJI2" s="121"/>
      <c r="VJJ2" s="121"/>
      <c r="VJK2" s="121"/>
      <c r="VJL2" s="121"/>
      <c r="VJM2" s="121"/>
      <c r="VJN2" s="121"/>
      <c r="VJO2" s="121"/>
      <c r="VJP2" s="121"/>
      <c r="VJQ2" s="121"/>
      <c r="VJR2" s="121"/>
      <c r="VJS2" s="121"/>
      <c r="VJT2" s="121"/>
      <c r="VJU2" s="121"/>
      <c r="VJV2" s="121"/>
      <c r="VJW2" s="121"/>
      <c r="VJX2" s="121"/>
      <c r="VJY2" s="121"/>
      <c r="VJZ2" s="121"/>
      <c r="VKA2" s="121"/>
      <c r="VKB2" s="121"/>
      <c r="VKC2" s="121"/>
      <c r="VKD2" s="121"/>
      <c r="VKE2" s="121"/>
      <c r="VKF2" s="121"/>
      <c r="VKG2" s="121"/>
      <c r="VKH2" s="121"/>
      <c r="VKI2" s="121"/>
      <c r="VKJ2" s="121"/>
      <c r="VKK2" s="121"/>
      <c r="VKL2" s="121"/>
      <c r="VKM2" s="121"/>
      <c r="VKN2" s="121"/>
      <c r="VKO2" s="121"/>
      <c r="VKP2" s="121"/>
      <c r="VKQ2" s="121"/>
      <c r="VKR2" s="121"/>
      <c r="VKS2" s="121"/>
      <c r="VKT2" s="121"/>
      <c r="VKU2" s="121"/>
      <c r="VKV2" s="121"/>
      <c r="VKW2" s="121"/>
      <c r="VKX2" s="121"/>
      <c r="VKY2" s="121"/>
      <c r="VKZ2" s="121"/>
      <c r="VLA2" s="121"/>
      <c r="VLB2" s="121"/>
      <c r="VLC2" s="121"/>
      <c r="VLD2" s="121"/>
      <c r="VLE2" s="121"/>
      <c r="VLF2" s="121"/>
      <c r="VLG2" s="121"/>
      <c r="VLH2" s="121"/>
      <c r="VLI2" s="121"/>
      <c r="VLJ2" s="121"/>
      <c r="VLK2" s="121"/>
      <c r="VLL2" s="121"/>
      <c r="VLM2" s="121"/>
      <c r="VLN2" s="121"/>
      <c r="VLO2" s="121"/>
      <c r="VLP2" s="121"/>
      <c r="VLQ2" s="121"/>
      <c r="VLR2" s="121"/>
      <c r="VLS2" s="121"/>
      <c r="VLT2" s="121"/>
      <c r="VLU2" s="121"/>
      <c r="VLV2" s="121"/>
      <c r="VLW2" s="121"/>
      <c r="VLX2" s="121"/>
      <c r="VLY2" s="121"/>
      <c r="VLZ2" s="121"/>
      <c r="VMA2" s="121"/>
      <c r="VMB2" s="121"/>
      <c r="VMC2" s="121"/>
      <c r="VMD2" s="121"/>
      <c r="VME2" s="121"/>
      <c r="VMF2" s="121"/>
      <c r="VMG2" s="121"/>
      <c r="VMH2" s="121"/>
      <c r="VMI2" s="121"/>
      <c r="VMJ2" s="121"/>
      <c r="VMK2" s="121"/>
      <c r="VML2" s="121"/>
      <c r="VMM2" s="121"/>
      <c r="VMN2" s="121"/>
      <c r="VMO2" s="121"/>
      <c r="VMP2" s="121"/>
      <c r="VMQ2" s="121"/>
      <c r="VMR2" s="121"/>
      <c r="VMS2" s="121"/>
      <c r="VMT2" s="121"/>
      <c r="VMU2" s="121"/>
      <c r="VMV2" s="121"/>
      <c r="VMW2" s="121"/>
      <c r="VMX2" s="121"/>
      <c r="VMY2" s="121"/>
      <c r="VMZ2" s="121"/>
      <c r="VNA2" s="121"/>
      <c r="VNB2" s="121"/>
      <c r="VNC2" s="121"/>
      <c r="VND2" s="121"/>
      <c r="VNE2" s="121"/>
      <c r="VNF2" s="121"/>
      <c r="VNG2" s="121"/>
      <c r="VNH2" s="121"/>
      <c r="VNI2" s="121"/>
      <c r="VNJ2" s="121"/>
      <c r="VNK2" s="121"/>
      <c r="VNL2" s="121"/>
      <c r="VNM2" s="121"/>
      <c r="VNN2" s="121"/>
      <c r="VNO2" s="121"/>
      <c r="VNP2" s="121"/>
      <c r="VNQ2" s="121"/>
      <c r="VNR2" s="121"/>
      <c r="VNS2" s="121"/>
      <c r="VNT2" s="121"/>
      <c r="VNU2" s="121"/>
      <c r="VNV2" s="121"/>
      <c r="VNW2" s="121"/>
      <c r="VNX2" s="121"/>
      <c r="VNY2" s="121"/>
      <c r="VNZ2" s="121"/>
      <c r="VOA2" s="121"/>
      <c r="VOB2" s="121"/>
      <c r="VOC2" s="121"/>
      <c r="VOD2" s="121"/>
      <c r="VOE2" s="121"/>
      <c r="VOF2" s="121"/>
      <c r="VOG2" s="121"/>
      <c r="VOH2" s="121"/>
      <c r="VOI2" s="121"/>
      <c r="VOJ2" s="121"/>
      <c r="VOK2" s="121"/>
      <c r="VOL2" s="121"/>
      <c r="VOM2" s="121"/>
      <c r="VON2" s="121"/>
      <c r="VOO2" s="121"/>
      <c r="VOP2" s="121"/>
      <c r="VOQ2" s="121"/>
      <c r="VOR2" s="121"/>
      <c r="VOS2" s="121"/>
      <c r="VOT2" s="121"/>
      <c r="VOU2" s="121"/>
      <c r="VOV2" s="121"/>
      <c r="VOW2" s="121"/>
      <c r="VOX2" s="121"/>
      <c r="VOY2" s="121"/>
      <c r="VOZ2" s="121"/>
      <c r="VPA2" s="121"/>
      <c r="VPB2" s="121"/>
      <c r="VPC2" s="121"/>
      <c r="VPD2" s="121"/>
      <c r="VPE2" s="121"/>
      <c r="VPF2" s="121"/>
      <c r="VPG2" s="121"/>
      <c r="VPH2" s="121"/>
      <c r="VPI2" s="121"/>
      <c r="VPJ2" s="121"/>
      <c r="VPK2" s="121"/>
      <c r="VPL2" s="121"/>
      <c r="VPM2" s="121"/>
      <c r="VPN2" s="121"/>
      <c r="VPO2" s="121"/>
      <c r="VPP2" s="121"/>
      <c r="VPQ2" s="121"/>
      <c r="VPR2" s="121"/>
      <c r="VPS2" s="121"/>
      <c r="VPT2" s="121"/>
      <c r="VPU2" s="121"/>
      <c r="VPV2" s="121"/>
      <c r="VPW2" s="121"/>
      <c r="VPX2" s="121"/>
      <c r="VPY2" s="121"/>
      <c r="VPZ2" s="121"/>
      <c r="VQA2" s="121"/>
      <c r="VQB2" s="121"/>
      <c r="VQC2" s="121"/>
      <c r="VQD2" s="121"/>
      <c r="VQE2" s="121"/>
      <c r="VQF2" s="121"/>
      <c r="VQG2" s="121"/>
      <c r="VQH2" s="121"/>
      <c r="VQI2" s="121"/>
      <c r="VQJ2" s="121"/>
      <c r="VQK2" s="121"/>
      <c r="VQL2" s="121"/>
      <c r="VQM2" s="121"/>
      <c r="VQN2" s="121"/>
      <c r="VQO2" s="121"/>
      <c r="VQP2" s="121"/>
      <c r="VQQ2" s="121"/>
      <c r="VQR2" s="121"/>
      <c r="VQS2" s="121"/>
      <c r="VQT2" s="121"/>
      <c r="VQU2" s="121"/>
      <c r="VQV2" s="121"/>
      <c r="VQW2" s="121"/>
      <c r="VQX2" s="121"/>
      <c r="VQY2" s="121"/>
      <c r="VQZ2" s="121"/>
      <c r="VRA2" s="121"/>
      <c r="VRB2" s="121"/>
      <c r="VRC2" s="121"/>
      <c r="VRD2" s="121"/>
      <c r="VRE2" s="121"/>
      <c r="VRF2" s="121"/>
      <c r="VRG2" s="121"/>
      <c r="VRH2" s="121"/>
      <c r="VRI2" s="121"/>
      <c r="VRJ2" s="121"/>
      <c r="VRK2" s="121"/>
      <c r="VRL2" s="121"/>
      <c r="VRM2" s="121"/>
      <c r="VRN2" s="121"/>
      <c r="VRO2" s="121"/>
      <c r="VRP2" s="121"/>
      <c r="VRQ2" s="121"/>
      <c r="VRR2" s="121"/>
      <c r="VRS2" s="121"/>
      <c r="VRT2" s="121"/>
      <c r="VRU2" s="121"/>
      <c r="VRV2" s="121"/>
      <c r="VRW2" s="121"/>
      <c r="VRX2" s="121"/>
      <c r="VRY2" s="121"/>
      <c r="VRZ2" s="121"/>
      <c r="VSA2" s="121"/>
      <c r="VSB2" s="121"/>
      <c r="VSC2" s="121"/>
      <c r="VSD2" s="121"/>
      <c r="VSE2" s="121"/>
      <c r="VSF2" s="121"/>
      <c r="VSG2" s="121"/>
      <c r="VSH2" s="121"/>
      <c r="VSI2" s="121"/>
      <c r="VSJ2" s="121"/>
      <c r="VSK2" s="121"/>
      <c r="VSL2" s="121"/>
      <c r="VSM2" s="121"/>
      <c r="VSN2" s="121"/>
      <c r="VSO2" s="121"/>
      <c r="VSP2" s="121"/>
      <c r="VSQ2" s="121"/>
      <c r="VSR2" s="121"/>
      <c r="VSS2" s="121"/>
      <c r="VST2" s="121"/>
      <c r="VSU2" s="121"/>
      <c r="VSV2" s="121"/>
      <c r="VSW2" s="121"/>
      <c r="VSX2" s="121"/>
      <c r="VSY2" s="121"/>
      <c r="VSZ2" s="121"/>
      <c r="VTA2" s="121"/>
      <c r="VTB2" s="121"/>
      <c r="VTC2" s="121"/>
      <c r="VTD2" s="121"/>
      <c r="VTE2" s="121"/>
      <c r="VTF2" s="121"/>
      <c r="VTG2" s="121"/>
      <c r="VTH2" s="121"/>
      <c r="VTI2" s="121"/>
      <c r="VTJ2" s="121"/>
      <c r="VTK2" s="121"/>
      <c r="VTL2" s="121"/>
      <c r="VTM2" s="121"/>
      <c r="VTN2" s="121"/>
      <c r="VTO2" s="121"/>
      <c r="VTP2" s="121"/>
      <c r="VTQ2" s="121"/>
      <c r="VTR2" s="121"/>
      <c r="VTS2" s="121"/>
      <c r="VTT2" s="121"/>
      <c r="VTU2" s="121"/>
      <c r="VTV2" s="121"/>
      <c r="VTW2" s="121"/>
      <c r="VTX2" s="121"/>
      <c r="VTY2" s="121"/>
      <c r="VTZ2" s="121"/>
      <c r="VUA2" s="121"/>
      <c r="VUB2" s="121"/>
      <c r="VUC2" s="121"/>
      <c r="VUD2" s="121"/>
      <c r="VUE2" s="121"/>
      <c r="VUF2" s="121"/>
      <c r="VUG2" s="121"/>
      <c r="VUH2" s="121"/>
      <c r="VUI2" s="121"/>
      <c r="VUJ2" s="121"/>
      <c r="VUK2" s="121"/>
      <c r="VUL2" s="121"/>
      <c r="VUM2" s="121"/>
      <c r="VUN2" s="121"/>
      <c r="VUO2" s="121"/>
      <c r="VUP2" s="121"/>
      <c r="VUQ2" s="121"/>
      <c r="VUR2" s="121"/>
      <c r="VUS2" s="121"/>
      <c r="VUT2" s="121"/>
      <c r="VUU2" s="121"/>
      <c r="VUV2" s="121"/>
      <c r="VUW2" s="121"/>
      <c r="VUX2" s="121"/>
      <c r="VUY2" s="121"/>
      <c r="VUZ2" s="121"/>
      <c r="VVA2" s="121"/>
      <c r="VVB2" s="121"/>
      <c r="VVC2" s="121"/>
      <c r="VVD2" s="121"/>
      <c r="VVE2" s="121"/>
      <c r="VVF2" s="121"/>
      <c r="VVG2" s="121"/>
      <c r="VVH2" s="121"/>
      <c r="VVI2" s="121"/>
      <c r="VVJ2" s="121"/>
      <c r="VVK2" s="121"/>
      <c r="VVL2" s="121"/>
      <c r="VVM2" s="121"/>
      <c r="VVN2" s="121"/>
      <c r="VVO2" s="121"/>
      <c r="VVP2" s="121"/>
      <c r="VVQ2" s="121"/>
      <c r="VVR2" s="121"/>
      <c r="VVS2" s="121"/>
      <c r="VVT2" s="121"/>
      <c r="VXA2" s="121"/>
      <c r="VXB2" s="121"/>
      <c r="VXC2" s="121"/>
      <c r="VXD2" s="121"/>
      <c r="VXE2" s="121"/>
      <c r="VXF2" s="121"/>
      <c r="VXG2" s="121"/>
      <c r="VXH2" s="121"/>
      <c r="VXI2" s="121"/>
      <c r="VXJ2" s="121"/>
      <c r="VXK2" s="121"/>
      <c r="VXL2" s="121"/>
      <c r="VYS2" s="121"/>
      <c r="VYT2" s="121"/>
      <c r="VYU2" s="121"/>
    </row>
    <row r="3" ht="21" customHeight="1" spans="1:55">
      <c r="A3" s="123" t="s">
        <v>28</v>
      </c>
      <c r="B3" s="34" t="s">
        <v>33</v>
      </c>
      <c r="C3" s="108" t="s">
        <v>43</v>
      </c>
      <c r="D3" s="108" t="s">
        <v>35</v>
      </c>
      <c r="E3" s="108" t="s">
        <v>227</v>
      </c>
      <c r="F3" s="123" t="s">
        <v>37</v>
      </c>
      <c r="G3" s="124" t="s">
        <v>33</v>
      </c>
      <c r="H3" s="82" t="s">
        <v>42</v>
      </c>
      <c r="I3" s="82"/>
      <c r="J3" s="124" t="s">
        <v>228</v>
      </c>
      <c r="K3" s="124" t="s">
        <v>35</v>
      </c>
      <c r="L3" s="137" t="s">
        <v>42</v>
      </c>
      <c r="M3" s="138"/>
      <c r="N3" s="124" t="s">
        <v>229</v>
      </c>
      <c r="O3" s="137" t="s">
        <v>42</v>
      </c>
      <c r="P3" s="138"/>
      <c r="Q3" s="82" t="s">
        <v>230</v>
      </c>
      <c r="R3" s="82"/>
      <c r="S3" s="82"/>
      <c r="T3" s="140" t="s">
        <v>231</v>
      </c>
      <c r="U3" s="141"/>
      <c r="V3" s="141"/>
      <c r="W3" s="141"/>
      <c r="X3" s="141"/>
      <c r="Y3" s="141"/>
      <c r="Z3" s="141"/>
      <c r="AA3" s="141"/>
      <c r="AB3" s="141"/>
      <c r="AC3" s="141"/>
      <c r="AD3" s="141"/>
      <c r="AE3" s="141"/>
      <c r="AF3" s="141"/>
      <c r="AG3" s="141"/>
      <c r="AH3" s="141"/>
      <c r="AI3" s="143"/>
      <c r="AJ3" s="140" t="s">
        <v>232</v>
      </c>
      <c r="AK3" s="141"/>
      <c r="AL3" s="141"/>
      <c r="AM3" s="141"/>
      <c r="AN3" s="141"/>
      <c r="AO3" s="141"/>
      <c r="AP3" s="141"/>
      <c r="AQ3" s="141"/>
      <c r="AR3" s="141"/>
      <c r="AS3" s="141"/>
      <c r="AT3" s="143"/>
      <c r="AU3" s="82" t="s">
        <v>233</v>
      </c>
      <c r="AV3" s="82"/>
      <c r="AW3" s="82"/>
      <c r="AX3" s="82"/>
      <c r="AY3" s="82"/>
      <c r="AZ3" s="82"/>
      <c r="BA3" s="82"/>
      <c r="BB3" s="82"/>
      <c r="BC3" s="82"/>
    </row>
    <row r="4" ht="48" customHeight="1" spans="1:60">
      <c r="A4" s="123"/>
      <c r="B4" s="34"/>
      <c r="C4" s="108"/>
      <c r="D4" s="108"/>
      <c r="E4" s="108"/>
      <c r="F4" s="123"/>
      <c r="G4" s="109"/>
      <c r="H4" s="82" t="s">
        <v>234</v>
      </c>
      <c r="I4" s="82" t="s">
        <v>235</v>
      </c>
      <c r="J4" s="109"/>
      <c r="K4" s="109"/>
      <c r="L4" s="139" t="s">
        <v>234</v>
      </c>
      <c r="M4" s="139" t="s">
        <v>235</v>
      </c>
      <c r="N4" s="109"/>
      <c r="O4" s="139" t="s">
        <v>236</v>
      </c>
      <c r="P4" s="139" t="s">
        <v>237</v>
      </c>
      <c r="Q4" s="139" t="s">
        <v>238</v>
      </c>
      <c r="R4" s="139" t="s">
        <v>239</v>
      </c>
      <c r="S4" s="139" t="s">
        <v>240</v>
      </c>
      <c r="T4" s="139" t="s">
        <v>238</v>
      </c>
      <c r="U4" s="139" t="s">
        <v>241</v>
      </c>
      <c r="V4" s="139" t="s">
        <v>242</v>
      </c>
      <c r="W4" s="139" t="s">
        <v>243</v>
      </c>
      <c r="X4" s="139" t="s">
        <v>244</v>
      </c>
      <c r="Y4" s="139" t="s">
        <v>245</v>
      </c>
      <c r="Z4" s="139" t="s">
        <v>246</v>
      </c>
      <c r="AA4" s="139" t="s">
        <v>247</v>
      </c>
      <c r="AB4" s="139" t="s">
        <v>248</v>
      </c>
      <c r="AC4" s="139" t="s">
        <v>249</v>
      </c>
      <c r="AD4" s="139" t="s">
        <v>250</v>
      </c>
      <c r="AE4" s="139" t="s">
        <v>251</v>
      </c>
      <c r="AF4" s="139" t="s">
        <v>252</v>
      </c>
      <c r="AG4" s="139" t="s">
        <v>253</v>
      </c>
      <c r="AH4" s="139" t="s">
        <v>254</v>
      </c>
      <c r="AI4" s="139" t="s">
        <v>255</v>
      </c>
      <c r="AJ4" s="139" t="s">
        <v>238</v>
      </c>
      <c r="AK4" s="139" t="s">
        <v>256</v>
      </c>
      <c r="AL4" s="139" t="s">
        <v>257</v>
      </c>
      <c r="AM4" s="139" t="s">
        <v>258</v>
      </c>
      <c r="AN4" s="139" t="s">
        <v>259</v>
      </c>
      <c r="AO4" s="139" t="s">
        <v>260</v>
      </c>
      <c r="AP4" s="139" t="s">
        <v>261</v>
      </c>
      <c r="AQ4" s="139" t="s">
        <v>262</v>
      </c>
      <c r="AR4" s="139" t="s">
        <v>263</v>
      </c>
      <c r="AS4" s="139" t="s">
        <v>264</v>
      </c>
      <c r="AT4" s="139"/>
      <c r="AU4" s="82" t="s">
        <v>265</v>
      </c>
      <c r="AV4" s="82" t="s">
        <v>266</v>
      </c>
      <c r="AW4" s="82" t="s">
        <v>267</v>
      </c>
      <c r="AX4" s="82" t="s">
        <v>268</v>
      </c>
      <c r="AY4" s="82" t="s">
        <v>269</v>
      </c>
      <c r="AZ4" s="82" t="s">
        <v>270</v>
      </c>
      <c r="BA4" s="82" t="s">
        <v>271</v>
      </c>
      <c r="BB4" s="82" t="s">
        <v>272</v>
      </c>
      <c r="BC4" s="82" t="s">
        <v>273</v>
      </c>
      <c r="BH4" s="85" t="s">
        <v>274</v>
      </c>
    </row>
    <row r="5" ht="20" customHeight="1" spans="1:15544">
      <c r="A5" s="111" t="s">
        <v>49</v>
      </c>
      <c r="B5" s="108">
        <f>B6+B7</f>
        <v>11300</v>
      </c>
      <c r="C5" s="108">
        <f>SUM(C6:C7)</f>
        <v>10036</v>
      </c>
      <c r="D5" s="108">
        <f>SUM(D6:D7)</f>
        <v>-800</v>
      </c>
      <c r="E5" s="108">
        <f>SUM(E6:E7)</f>
        <v>10500</v>
      </c>
      <c r="F5" s="125" t="s">
        <v>275</v>
      </c>
      <c r="G5" s="82">
        <v>31243</v>
      </c>
      <c r="H5" s="82">
        <v>31043</v>
      </c>
      <c r="I5" s="82">
        <v>200</v>
      </c>
      <c r="J5" s="139">
        <f>29825-50</f>
        <v>29775</v>
      </c>
      <c r="K5" s="139">
        <f>N5-G5</f>
        <v>5992</v>
      </c>
      <c r="L5" s="139"/>
      <c r="M5" s="139">
        <v>-142</v>
      </c>
      <c r="N5" s="139">
        <f t="shared" ref="N5:N16" si="0">SUM(O5:P5)</f>
        <v>37235</v>
      </c>
      <c r="O5" s="139">
        <f>R5+S5</f>
        <v>34138</v>
      </c>
      <c r="P5" s="139">
        <f>BB5</f>
        <v>3097</v>
      </c>
      <c r="Q5" s="139"/>
      <c r="R5" s="139">
        <f>20000-590-10-14-3225+795</f>
        <v>16956</v>
      </c>
      <c r="S5" s="139">
        <f>T5+AJ5</f>
        <v>17182</v>
      </c>
      <c r="T5" s="139">
        <f>SUM(U5:AI5)</f>
        <v>16185</v>
      </c>
      <c r="U5" s="139">
        <v>795</v>
      </c>
      <c r="V5" s="139">
        <v>900</v>
      </c>
      <c r="W5" s="139">
        <v>4800</v>
      </c>
      <c r="X5" s="139">
        <v>800</v>
      </c>
      <c r="Y5" s="139">
        <v>2030</v>
      </c>
      <c r="Z5" s="139">
        <v>500</v>
      </c>
      <c r="AA5" s="139"/>
      <c r="AB5" s="139"/>
      <c r="AC5" s="139">
        <v>250</v>
      </c>
      <c r="AD5" s="139">
        <v>100</v>
      </c>
      <c r="AE5" s="139">
        <v>350</v>
      </c>
      <c r="AF5" s="139">
        <v>650</v>
      </c>
      <c r="AG5" s="139">
        <v>722</v>
      </c>
      <c r="AH5" s="139">
        <v>1300</v>
      </c>
      <c r="AI5" s="139">
        <f>3888-900</f>
        <v>2988</v>
      </c>
      <c r="AJ5" s="139">
        <f>SUM(AK5:AT5)</f>
        <v>997</v>
      </c>
      <c r="AK5" s="139"/>
      <c r="AL5" s="139">
        <f>156+175</f>
        <v>331</v>
      </c>
      <c r="AM5" s="139">
        <f>10+46</f>
        <v>56</v>
      </c>
      <c r="AN5" s="139"/>
      <c r="AO5" s="139"/>
      <c r="AP5" s="139">
        <v>10</v>
      </c>
      <c r="AQ5" s="139"/>
      <c r="AR5" s="139">
        <v>300</v>
      </c>
      <c r="AS5" s="139">
        <v>300</v>
      </c>
      <c r="AT5" s="139"/>
      <c r="AU5" s="82">
        <v>76</v>
      </c>
      <c r="AV5" s="82">
        <v>80</v>
      </c>
      <c r="AW5" s="82">
        <v>16</v>
      </c>
      <c r="AX5" s="82"/>
      <c r="AY5" s="82"/>
      <c r="AZ5" s="82">
        <v>200</v>
      </c>
      <c r="BA5" s="82">
        <v>2833</v>
      </c>
      <c r="BB5" s="82">
        <f>AV5-AW5-AX5+AZ5+BA5</f>
        <v>3097</v>
      </c>
      <c r="BC5" s="82">
        <f>AU5-AW5-AY5+AZ5+BA5</f>
        <v>3093</v>
      </c>
      <c r="BE5" s="85">
        <v>19784</v>
      </c>
      <c r="BF5" s="85">
        <f>R5-BE5</f>
        <v>-2828</v>
      </c>
      <c r="BG5" s="85">
        <v>20000</v>
      </c>
      <c r="BH5" s="85">
        <v>20885</v>
      </c>
      <c r="BJ5" s="85">
        <f>BE5+P5</f>
        <v>22881</v>
      </c>
      <c r="VVU5" s="85"/>
      <c r="VXA5" s="87"/>
      <c r="VXM5" s="85"/>
      <c r="VYS5" s="87"/>
      <c r="VYV5" s="85"/>
    </row>
    <row r="6" ht="20" customHeight="1" spans="1:15544">
      <c r="A6" s="111" t="s">
        <v>276</v>
      </c>
      <c r="B6" s="39">
        <f>[2]表一!F6+[2]表一!F22</f>
        <v>9780</v>
      </c>
      <c r="C6" s="39">
        <v>8628</v>
      </c>
      <c r="D6" s="39">
        <f>表一!H6+表一!H22</f>
        <v>-925</v>
      </c>
      <c r="E6" s="39">
        <f>B6+D6</f>
        <v>8855</v>
      </c>
      <c r="F6" s="125" t="s">
        <v>277</v>
      </c>
      <c r="G6" s="82"/>
      <c r="H6" s="82"/>
      <c r="I6" s="82"/>
      <c r="J6" s="139">
        <f>BE6+P6</f>
        <v>0</v>
      </c>
      <c r="K6" s="139">
        <f t="shared" ref="K6:K27" si="1">N6-G6</f>
        <v>0</v>
      </c>
      <c r="L6" s="139"/>
      <c r="M6" s="139"/>
      <c r="N6" s="139">
        <f t="shared" si="0"/>
        <v>0</v>
      </c>
      <c r="O6" s="139">
        <f t="shared" ref="O6:O28" si="2">R6+S6</f>
        <v>0</v>
      </c>
      <c r="P6" s="139">
        <f t="shared" ref="P6:P25" si="3">BB6</f>
        <v>0</v>
      </c>
      <c r="Q6" s="139"/>
      <c r="R6" s="139"/>
      <c r="S6" s="139">
        <f t="shared" ref="S6:S27" si="4">T6+AJ6</f>
        <v>0</v>
      </c>
      <c r="T6" s="139">
        <f t="shared" ref="T6:T27" si="5">SUM(U6:AI6)</f>
        <v>0</v>
      </c>
      <c r="U6" s="139"/>
      <c r="V6" s="139"/>
      <c r="W6" s="139"/>
      <c r="X6" s="139"/>
      <c r="Y6" s="139"/>
      <c r="Z6" s="139"/>
      <c r="AA6" s="139"/>
      <c r="AB6" s="139"/>
      <c r="AC6" s="139"/>
      <c r="AD6" s="139"/>
      <c r="AE6" s="139"/>
      <c r="AF6" s="139"/>
      <c r="AG6" s="139"/>
      <c r="AH6" s="139"/>
      <c r="AI6" s="139"/>
      <c r="AJ6" s="139">
        <f t="shared" ref="AJ6:AJ27" si="6">SUM(AK6:AT6)</f>
        <v>0</v>
      </c>
      <c r="AK6" s="139"/>
      <c r="AL6" s="139"/>
      <c r="AM6" s="139"/>
      <c r="AN6" s="139"/>
      <c r="AO6" s="139"/>
      <c r="AP6" s="139"/>
      <c r="AQ6" s="139"/>
      <c r="AR6" s="139"/>
      <c r="AS6" s="139"/>
      <c r="AT6" s="139"/>
      <c r="AU6" s="82"/>
      <c r="AV6" s="82"/>
      <c r="AW6" s="82"/>
      <c r="AX6" s="82"/>
      <c r="AY6" s="82"/>
      <c r="AZ6" s="82"/>
      <c r="BA6" s="82"/>
      <c r="BB6" s="82">
        <f t="shared" ref="BB6:BB25" si="7">AV6-AW6-AX6+AZ6+BA6</f>
        <v>0</v>
      </c>
      <c r="BC6" s="82">
        <f t="shared" ref="BC5:BC11" si="8">AU6-AW6-AY6+AZ6+BA6</f>
        <v>0</v>
      </c>
      <c r="BF6" s="85">
        <f t="shared" ref="BF6:BF28" si="9">R6-BE6</f>
        <v>0</v>
      </c>
      <c r="BJ6" s="85">
        <f t="shared" ref="BJ6:BJ28" si="10">BE6+P6</f>
        <v>0</v>
      </c>
      <c r="VVU6" s="85"/>
      <c r="VXA6" s="87"/>
      <c r="VXM6" s="85"/>
      <c r="VYS6" s="87"/>
      <c r="VYV6" s="85"/>
    </row>
    <row r="7" ht="20" customHeight="1" spans="1:15544">
      <c r="A7" s="111" t="s">
        <v>278</v>
      </c>
      <c r="B7" s="108">
        <f>[2]表一!F29+[2]表一!F30+[2]表一!F31+[2]表一!F32</f>
        <v>1520</v>
      </c>
      <c r="C7" s="108">
        <v>1408</v>
      </c>
      <c r="D7" s="108">
        <f>表一!H29+表一!H30+表一!H31+表一!H32+表一!H33</f>
        <v>125</v>
      </c>
      <c r="E7" s="39">
        <f>B7+D7</f>
        <v>1645</v>
      </c>
      <c r="F7" s="125" t="s">
        <v>279</v>
      </c>
      <c r="G7" s="82">
        <v>25</v>
      </c>
      <c r="H7" s="82">
        <v>0</v>
      </c>
      <c r="I7" s="82">
        <v>25</v>
      </c>
      <c r="J7" s="139">
        <f>BE7+P7</f>
        <v>0</v>
      </c>
      <c r="K7" s="139">
        <f t="shared" si="1"/>
        <v>-25</v>
      </c>
      <c r="L7" s="139"/>
      <c r="M7" s="139"/>
      <c r="N7" s="139">
        <f t="shared" si="0"/>
        <v>0</v>
      </c>
      <c r="O7" s="139">
        <f t="shared" si="2"/>
        <v>0</v>
      </c>
      <c r="P7" s="139">
        <f t="shared" si="3"/>
        <v>0</v>
      </c>
      <c r="Q7" s="139"/>
      <c r="R7" s="139"/>
      <c r="S7" s="139">
        <f t="shared" si="4"/>
        <v>0</v>
      </c>
      <c r="T7" s="139">
        <f t="shared" si="5"/>
        <v>0</v>
      </c>
      <c r="U7" s="139"/>
      <c r="V7" s="139"/>
      <c r="W7" s="139"/>
      <c r="X7" s="139"/>
      <c r="Y7" s="139"/>
      <c r="Z7" s="139"/>
      <c r="AA7" s="139"/>
      <c r="AB7" s="139"/>
      <c r="AC7" s="139"/>
      <c r="AD7" s="139"/>
      <c r="AE7" s="139"/>
      <c r="AF7" s="139"/>
      <c r="AG7" s="139"/>
      <c r="AH7" s="139"/>
      <c r="AI7" s="139"/>
      <c r="AJ7" s="139">
        <f t="shared" si="6"/>
        <v>0</v>
      </c>
      <c r="AK7" s="139"/>
      <c r="AL7" s="139"/>
      <c r="AM7" s="139"/>
      <c r="AN7" s="139"/>
      <c r="AO7" s="139"/>
      <c r="AP7" s="139"/>
      <c r="AQ7" s="139"/>
      <c r="AR7" s="139"/>
      <c r="AS7" s="139"/>
      <c r="AT7" s="139"/>
      <c r="AU7" s="82"/>
      <c r="AV7" s="82"/>
      <c r="AW7" s="82"/>
      <c r="AX7" s="82"/>
      <c r="AY7" s="82"/>
      <c r="AZ7" s="82"/>
      <c r="BA7" s="82"/>
      <c r="BB7" s="82">
        <f t="shared" si="7"/>
        <v>0</v>
      </c>
      <c r="BC7" s="82">
        <f t="shared" si="8"/>
        <v>0</v>
      </c>
      <c r="BF7" s="85">
        <f t="shared" si="9"/>
        <v>0</v>
      </c>
      <c r="BJ7" s="85">
        <f t="shared" si="10"/>
        <v>0</v>
      </c>
      <c r="VVU7" s="85"/>
      <c r="VXA7" s="87"/>
      <c r="VXM7" s="85"/>
      <c r="VYS7" s="87"/>
      <c r="VYV7" s="85"/>
    </row>
    <row r="8" ht="20" customHeight="1" spans="1:15544">
      <c r="A8" s="126" t="s">
        <v>107</v>
      </c>
      <c r="B8" s="108">
        <f>B9+B10+B11</f>
        <v>299029</v>
      </c>
      <c r="C8" s="108">
        <f>C9+C10+C11</f>
        <v>130215</v>
      </c>
      <c r="D8" s="108">
        <f>D9+D10+D11</f>
        <v>29126</v>
      </c>
      <c r="E8" s="108">
        <f>E9+E10+E11</f>
        <v>328155</v>
      </c>
      <c r="F8" s="125" t="s">
        <v>280</v>
      </c>
      <c r="G8" s="82">
        <v>7442</v>
      </c>
      <c r="H8" s="82">
        <v>6449</v>
      </c>
      <c r="I8" s="82">
        <v>993</v>
      </c>
      <c r="J8" s="139">
        <v>4996</v>
      </c>
      <c r="K8" s="139">
        <f t="shared" si="1"/>
        <v>498</v>
      </c>
      <c r="L8" s="139"/>
      <c r="M8" s="139">
        <v>-113</v>
      </c>
      <c r="N8" s="139">
        <f t="shared" si="0"/>
        <v>7940</v>
      </c>
      <c r="O8" s="139">
        <f t="shared" si="2"/>
        <v>7060</v>
      </c>
      <c r="P8" s="139">
        <f t="shared" si="3"/>
        <v>880</v>
      </c>
      <c r="Q8" s="139"/>
      <c r="R8" s="139">
        <f>6000+590</f>
        <v>6590</v>
      </c>
      <c r="S8" s="139">
        <f t="shared" si="4"/>
        <v>470</v>
      </c>
      <c r="T8" s="139">
        <f t="shared" si="5"/>
        <v>470</v>
      </c>
      <c r="U8" s="139"/>
      <c r="V8" s="139">
        <v>400</v>
      </c>
      <c r="W8" s="139"/>
      <c r="X8" s="139"/>
      <c r="Y8" s="139"/>
      <c r="Z8" s="139"/>
      <c r="AA8" s="139"/>
      <c r="AB8" s="139"/>
      <c r="AC8" s="139"/>
      <c r="AD8" s="139"/>
      <c r="AE8" s="139"/>
      <c r="AF8" s="139"/>
      <c r="AG8" s="139">
        <v>70</v>
      </c>
      <c r="AH8" s="139"/>
      <c r="AI8" s="139"/>
      <c r="AJ8" s="139">
        <f t="shared" si="6"/>
        <v>0</v>
      </c>
      <c r="AK8" s="139"/>
      <c r="AL8" s="139"/>
      <c r="AM8" s="139"/>
      <c r="AN8" s="139"/>
      <c r="AO8" s="139"/>
      <c r="AP8" s="139"/>
      <c r="AQ8" s="139"/>
      <c r="AR8" s="139"/>
      <c r="AS8" s="139"/>
      <c r="AT8" s="139"/>
      <c r="AU8" s="82">
        <v>880</v>
      </c>
      <c r="AV8" s="82">
        <v>880</v>
      </c>
      <c r="AW8" s="82"/>
      <c r="AX8" s="82"/>
      <c r="AY8" s="82"/>
      <c r="AZ8" s="82"/>
      <c r="BA8" s="82"/>
      <c r="BB8" s="82">
        <f t="shared" si="7"/>
        <v>880</v>
      </c>
      <c r="BC8" s="82">
        <f t="shared" si="8"/>
        <v>880</v>
      </c>
      <c r="BE8" s="85">
        <v>5908</v>
      </c>
      <c r="BF8" s="85">
        <f t="shared" si="9"/>
        <v>682</v>
      </c>
      <c r="BG8" s="85">
        <v>6000</v>
      </c>
      <c r="BH8" s="85">
        <v>6449</v>
      </c>
      <c r="BJ8" s="85">
        <f t="shared" si="10"/>
        <v>6788</v>
      </c>
      <c r="VVU8" s="85"/>
      <c r="VXA8" s="87"/>
      <c r="VXM8" s="85"/>
      <c r="VYS8" s="87"/>
      <c r="VYV8" s="85"/>
    </row>
    <row r="9" ht="20" customHeight="1" spans="1:15544">
      <c r="A9" s="126" t="s">
        <v>109</v>
      </c>
      <c r="B9" s="108">
        <f>[2]表一!F35</f>
        <v>2467</v>
      </c>
      <c r="C9" s="108">
        <v>2467</v>
      </c>
      <c r="D9" s="108">
        <f>表一!H35</f>
        <v>0</v>
      </c>
      <c r="E9" s="108">
        <f>B9+D9</f>
        <v>2467</v>
      </c>
      <c r="F9" s="125" t="s">
        <v>281</v>
      </c>
      <c r="G9" s="82">
        <v>42894</v>
      </c>
      <c r="H9" s="82">
        <v>27694</v>
      </c>
      <c r="I9" s="82">
        <v>15200</v>
      </c>
      <c r="J9" s="139">
        <v>40400</v>
      </c>
      <c r="K9" s="139">
        <f t="shared" si="1"/>
        <v>9770</v>
      </c>
      <c r="L9" s="139"/>
      <c r="M9" s="139">
        <v>2694</v>
      </c>
      <c r="N9" s="139">
        <f t="shared" si="0"/>
        <v>52664</v>
      </c>
      <c r="O9" s="139">
        <f>R9+S9-350</f>
        <v>34901</v>
      </c>
      <c r="P9" s="139">
        <f t="shared" si="3"/>
        <v>17763</v>
      </c>
      <c r="Q9" s="139"/>
      <c r="R9" s="139">
        <v>27714</v>
      </c>
      <c r="S9" s="139">
        <f t="shared" si="4"/>
        <v>7537</v>
      </c>
      <c r="T9" s="139">
        <f t="shared" si="5"/>
        <v>0</v>
      </c>
      <c r="U9" s="139"/>
      <c r="V9" s="139"/>
      <c r="W9" s="139"/>
      <c r="X9" s="139"/>
      <c r="Y9" s="139"/>
      <c r="Z9" s="139"/>
      <c r="AA9" s="139"/>
      <c r="AB9" s="139"/>
      <c r="AC9" s="139"/>
      <c r="AD9" s="139"/>
      <c r="AE9" s="139"/>
      <c r="AF9" s="139"/>
      <c r="AG9" s="139"/>
      <c r="AH9" s="139"/>
      <c r="AI9" s="139"/>
      <c r="AJ9" s="139">
        <f t="shared" si="6"/>
        <v>7537</v>
      </c>
      <c r="AK9" s="139"/>
      <c r="AL9" s="139"/>
      <c r="AM9" s="139"/>
      <c r="AN9" s="139">
        <f>7553-136</f>
        <v>7417</v>
      </c>
      <c r="AO9" s="139">
        <v>120</v>
      </c>
      <c r="AP9" s="139"/>
      <c r="AQ9" s="139"/>
      <c r="AR9" s="139"/>
      <c r="AS9" s="139"/>
      <c r="AT9" s="139"/>
      <c r="AU9" s="82">
        <v>18579</v>
      </c>
      <c r="AV9" s="82">
        <v>18600</v>
      </c>
      <c r="AW9" s="82">
        <v>1043</v>
      </c>
      <c r="AX9" s="82"/>
      <c r="AY9" s="82"/>
      <c r="AZ9" s="82"/>
      <c r="BA9" s="82">
        <f>156+50</f>
        <v>206</v>
      </c>
      <c r="BB9" s="82">
        <f t="shared" si="7"/>
        <v>17763</v>
      </c>
      <c r="BC9" s="82">
        <f t="shared" si="8"/>
        <v>17742</v>
      </c>
      <c r="BE9" s="85">
        <v>25468</v>
      </c>
      <c r="BF9" s="85">
        <f t="shared" si="9"/>
        <v>2246</v>
      </c>
      <c r="BG9" s="85">
        <v>27714</v>
      </c>
      <c r="BH9" s="85">
        <v>26714</v>
      </c>
      <c r="BJ9" s="85">
        <f t="shared" si="10"/>
        <v>43231</v>
      </c>
      <c r="VVU9" s="85"/>
      <c r="VXA9" s="87"/>
      <c r="VXM9" s="85"/>
      <c r="VYS9" s="87"/>
      <c r="VYV9" s="85"/>
    </row>
    <row r="10" ht="20" customHeight="1" spans="1:15544">
      <c r="A10" s="126" t="s">
        <v>117</v>
      </c>
      <c r="B10" s="39">
        <f>[2]表一!F39</f>
        <v>118090</v>
      </c>
      <c r="C10" s="39">
        <v>127748</v>
      </c>
      <c r="D10" s="39">
        <f>表一!H39</f>
        <v>11158</v>
      </c>
      <c r="E10" s="108">
        <f>B10+D10</f>
        <v>129248</v>
      </c>
      <c r="F10" s="125" t="s">
        <v>282</v>
      </c>
      <c r="G10" s="82">
        <v>250</v>
      </c>
      <c r="H10" s="82">
        <v>230</v>
      </c>
      <c r="I10" s="82">
        <v>20</v>
      </c>
      <c r="J10" s="139">
        <f>BE10+P10</f>
        <v>99</v>
      </c>
      <c r="K10" s="139">
        <f t="shared" si="1"/>
        <v>40</v>
      </c>
      <c r="L10" s="139"/>
      <c r="M10" s="139">
        <v>-5</v>
      </c>
      <c r="N10" s="139">
        <f t="shared" si="0"/>
        <v>290</v>
      </c>
      <c r="O10" s="139">
        <f t="shared" si="2"/>
        <v>270</v>
      </c>
      <c r="P10" s="139">
        <f t="shared" si="3"/>
        <v>20</v>
      </c>
      <c r="Q10" s="139"/>
      <c r="R10" s="139">
        <v>90</v>
      </c>
      <c r="S10" s="139">
        <f t="shared" si="4"/>
        <v>180</v>
      </c>
      <c r="T10" s="139">
        <f t="shared" si="5"/>
        <v>0</v>
      </c>
      <c r="U10" s="139"/>
      <c r="V10" s="139"/>
      <c r="W10" s="139"/>
      <c r="X10" s="139"/>
      <c r="Y10" s="139"/>
      <c r="Z10" s="139"/>
      <c r="AA10" s="139"/>
      <c r="AB10" s="139"/>
      <c r="AC10" s="139"/>
      <c r="AD10" s="139"/>
      <c r="AE10" s="139"/>
      <c r="AF10" s="139"/>
      <c r="AG10" s="139"/>
      <c r="AH10" s="139"/>
      <c r="AI10" s="139"/>
      <c r="AJ10" s="139">
        <f t="shared" si="6"/>
        <v>180</v>
      </c>
      <c r="AK10" s="139"/>
      <c r="AL10" s="139"/>
      <c r="AM10" s="139"/>
      <c r="AN10" s="139"/>
      <c r="AO10" s="139"/>
      <c r="AP10" s="139">
        <v>180</v>
      </c>
      <c r="AQ10" s="139"/>
      <c r="AR10" s="139"/>
      <c r="AS10" s="139"/>
      <c r="AT10" s="139"/>
      <c r="AU10" s="82">
        <v>15</v>
      </c>
      <c r="AV10" s="82">
        <v>20</v>
      </c>
      <c r="AW10" s="82"/>
      <c r="AX10" s="82"/>
      <c r="AY10" s="82"/>
      <c r="AZ10" s="82"/>
      <c r="BA10" s="82"/>
      <c r="BB10" s="82">
        <f t="shared" si="7"/>
        <v>20</v>
      </c>
      <c r="BC10" s="82">
        <f t="shared" si="8"/>
        <v>15</v>
      </c>
      <c r="BE10" s="85">
        <v>79</v>
      </c>
      <c r="BF10" s="85">
        <f t="shared" si="9"/>
        <v>11</v>
      </c>
      <c r="BG10" s="85">
        <v>80</v>
      </c>
      <c r="BH10" s="85">
        <v>50</v>
      </c>
      <c r="BJ10" s="85">
        <f t="shared" si="10"/>
        <v>99</v>
      </c>
      <c r="VVU10" s="85"/>
      <c r="VXA10" s="87"/>
      <c r="VXM10" s="85"/>
      <c r="VYS10" s="87"/>
      <c r="VYV10" s="85"/>
    </row>
    <row r="11" ht="20" customHeight="1" spans="1:15544">
      <c r="A11" s="126" t="s">
        <v>161</v>
      </c>
      <c r="B11" s="108">
        <f>[2]表一!F62</f>
        <v>178472</v>
      </c>
      <c r="C11" s="108"/>
      <c r="D11" s="108">
        <f>表一!H61</f>
        <v>17968</v>
      </c>
      <c r="E11" s="108">
        <f>B11+D11</f>
        <v>196440</v>
      </c>
      <c r="F11" s="125" t="s">
        <v>283</v>
      </c>
      <c r="G11" s="82">
        <v>4056</v>
      </c>
      <c r="H11" s="82">
        <v>1997</v>
      </c>
      <c r="I11" s="82">
        <v>2059</v>
      </c>
      <c r="J11" s="139">
        <v>4321</v>
      </c>
      <c r="K11" s="139">
        <f t="shared" si="1"/>
        <v>875</v>
      </c>
      <c r="L11" s="139"/>
      <c r="M11" s="139">
        <v>712</v>
      </c>
      <c r="N11" s="139">
        <f t="shared" si="0"/>
        <v>4931</v>
      </c>
      <c r="O11" s="139">
        <f t="shared" si="2"/>
        <v>1959</v>
      </c>
      <c r="P11" s="139">
        <f t="shared" si="3"/>
        <v>2972</v>
      </c>
      <c r="Q11" s="139"/>
      <c r="R11" s="139">
        <f>697+14</f>
        <v>711</v>
      </c>
      <c r="S11" s="139">
        <f t="shared" si="4"/>
        <v>1248</v>
      </c>
      <c r="T11" s="139">
        <f t="shared" si="5"/>
        <v>958</v>
      </c>
      <c r="U11" s="139"/>
      <c r="V11" s="139"/>
      <c r="W11" s="139"/>
      <c r="X11" s="139"/>
      <c r="Y11" s="139"/>
      <c r="Z11" s="139"/>
      <c r="AA11" s="139"/>
      <c r="AB11" s="139"/>
      <c r="AC11" s="139">
        <v>850</v>
      </c>
      <c r="AD11" s="139"/>
      <c r="AE11" s="139"/>
      <c r="AF11" s="139"/>
      <c r="AG11" s="139">
        <v>108</v>
      </c>
      <c r="AH11" s="139"/>
      <c r="AI11" s="139"/>
      <c r="AJ11" s="139">
        <f t="shared" si="6"/>
        <v>290</v>
      </c>
      <c r="AK11" s="139"/>
      <c r="AL11" s="139"/>
      <c r="AM11" s="139"/>
      <c r="AN11" s="139"/>
      <c r="AO11" s="139"/>
      <c r="AP11" s="139">
        <v>290</v>
      </c>
      <c r="AQ11" s="139"/>
      <c r="AR11" s="139"/>
      <c r="AS11" s="139"/>
      <c r="AT11" s="139"/>
      <c r="AU11" s="82">
        <v>2770</v>
      </c>
      <c r="AV11" s="82">
        <v>2770</v>
      </c>
      <c r="AW11" s="82"/>
      <c r="AX11" s="82"/>
      <c r="AY11" s="82"/>
      <c r="AZ11" s="82">
        <v>75</v>
      </c>
      <c r="BA11" s="82">
        <v>127</v>
      </c>
      <c r="BB11" s="82">
        <f t="shared" si="7"/>
        <v>2972</v>
      </c>
      <c r="BC11" s="82">
        <f t="shared" si="8"/>
        <v>2972</v>
      </c>
      <c r="BE11" s="85">
        <v>689</v>
      </c>
      <c r="BF11" s="85">
        <f t="shared" si="9"/>
        <v>22</v>
      </c>
      <c r="BG11" s="85">
        <v>697</v>
      </c>
      <c r="BH11" s="85">
        <v>697</v>
      </c>
      <c r="BJ11" s="85">
        <f t="shared" si="10"/>
        <v>3661</v>
      </c>
      <c r="VVU11" s="85"/>
      <c r="VXA11" s="87"/>
      <c r="VXM11" s="85"/>
      <c r="VYS11" s="87"/>
      <c r="VYV11" s="85"/>
    </row>
    <row r="12" ht="20" customHeight="1" spans="1:15544">
      <c r="A12" s="126" t="s">
        <v>196</v>
      </c>
      <c r="B12" s="108">
        <f>[2]表一!F83</f>
        <v>711</v>
      </c>
      <c r="C12" s="108">
        <v>797</v>
      </c>
      <c r="D12" s="108">
        <v>86</v>
      </c>
      <c r="E12" s="108">
        <f>[2]表一!I83</f>
        <v>797</v>
      </c>
      <c r="F12" s="125" t="s">
        <v>284</v>
      </c>
      <c r="G12" s="82">
        <v>49341</v>
      </c>
      <c r="H12" s="82">
        <v>24232</v>
      </c>
      <c r="I12" s="82">
        <v>25109</v>
      </c>
      <c r="J12" s="139">
        <f>49378-4248</f>
        <v>45130</v>
      </c>
      <c r="K12" s="139">
        <f t="shared" si="1"/>
        <v>1044</v>
      </c>
      <c r="L12" s="139"/>
      <c r="M12" s="139">
        <v>5042</v>
      </c>
      <c r="N12" s="139">
        <f t="shared" si="0"/>
        <v>50385</v>
      </c>
      <c r="O12" s="139">
        <f t="shared" si="2"/>
        <v>21588</v>
      </c>
      <c r="P12" s="139">
        <f t="shared" si="3"/>
        <v>28797</v>
      </c>
      <c r="Q12" s="139"/>
      <c r="R12" s="139">
        <v>6508</v>
      </c>
      <c r="S12" s="139">
        <f t="shared" si="4"/>
        <v>15080</v>
      </c>
      <c r="T12" s="139">
        <f t="shared" si="5"/>
        <v>10700</v>
      </c>
      <c r="U12" s="139"/>
      <c r="V12" s="139"/>
      <c r="W12" s="139"/>
      <c r="X12" s="139"/>
      <c r="Y12" s="139"/>
      <c r="Z12" s="139"/>
      <c r="AA12" s="139"/>
      <c r="AB12" s="139"/>
      <c r="AC12" s="139"/>
      <c r="AD12" s="139"/>
      <c r="AE12" s="139"/>
      <c r="AF12" s="139"/>
      <c r="AG12" s="139"/>
      <c r="AH12" s="139"/>
      <c r="AI12" s="139">
        <f>9800+900</f>
        <v>10700</v>
      </c>
      <c r="AJ12" s="139">
        <f t="shared" si="6"/>
        <v>4380</v>
      </c>
      <c r="AK12" s="139"/>
      <c r="AL12" s="139"/>
      <c r="AM12" s="139">
        <f>718+2408+1254</f>
        <v>4380</v>
      </c>
      <c r="AN12" s="139"/>
      <c r="AO12" s="139"/>
      <c r="AP12" s="139"/>
      <c r="AQ12" s="139"/>
      <c r="AR12" s="139"/>
      <c r="AS12" s="139"/>
      <c r="AT12" s="139"/>
      <c r="AU12" s="82">
        <v>30324</v>
      </c>
      <c r="AV12" s="82">
        <f>30200+500</f>
        <v>30700</v>
      </c>
      <c r="AW12" s="82">
        <v>2011</v>
      </c>
      <c r="AX12" s="82"/>
      <c r="AY12" s="82"/>
      <c r="AZ12" s="82">
        <v>108</v>
      </c>
      <c r="BA12" s="82"/>
      <c r="BB12" s="82">
        <f t="shared" si="7"/>
        <v>28797</v>
      </c>
      <c r="BC12" s="82">
        <f>AU12-AW12-AX12+AZ12+BA12</f>
        <v>28421</v>
      </c>
      <c r="BE12" s="85">
        <v>6457</v>
      </c>
      <c r="BF12" s="85">
        <f t="shared" si="9"/>
        <v>51</v>
      </c>
      <c r="BG12" s="85">
        <v>6508</v>
      </c>
      <c r="BH12" s="85">
        <v>6508</v>
      </c>
      <c r="BJ12" s="85">
        <f t="shared" si="10"/>
        <v>35254</v>
      </c>
      <c r="VVU12" s="85"/>
      <c r="VXA12" s="87"/>
      <c r="VXM12" s="85"/>
      <c r="VYS12" s="87"/>
      <c r="VYV12" s="85"/>
    </row>
    <row r="13" ht="20" customHeight="1" spans="1:15544">
      <c r="A13" s="126" t="s">
        <v>197</v>
      </c>
      <c r="B13" s="108">
        <f>B14+B15+B16+B18</f>
        <v>8040</v>
      </c>
      <c r="C13" s="108">
        <f>C14+C15+C16+C18</f>
        <v>8040</v>
      </c>
      <c r="D13" s="108">
        <f>D14+D15+D16+D18+D17</f>
        <v>6211</v>
      </c>
      <c r="E13" s="108">
        <f>E14+E15+E16+E18+E17</f>
        <v>14251</v>
      </c>
      <c r="F13" s="125" t="s">
        <v>285</v>
      </c>
      <c r="G13" s="82">
        <v>34365</v>
      </c>
      <c r="H13" s="82">
        <v>9684</v>
      </c>
      <c r="I13" s="82">
        <v>24681</v>
      </c>
      <c r="J13" s="139">
        <v>38701</v>
      </c>
      <c r="K13" s="139">
        <f t="shared" si="1"/>
        <v>6108</v>
      </c>
      <c r="L13" s="139"/>
      <c r="M13" s="139">
        <v>6652</v>
      </c>
      <c r="N13" s="139">
        <f t="shared" si="0"/>
        <v>40473</v>
      </c>
      <c r="O13" s="139">
        <f t="shared" si="2"/>
        <v>9327</v>
      </c>
      <c r="P13" s="139">
        <f t="shared" si="3"/>
        <v>31146</v>
      </c>
      <c r="Q13" s="139"/>
      <c r="R13" s="139">
        <v>5200</v>
      </c>
      <c r="S13" s="139">
        <f t="shared" si="4"/>
        <v>4127</v>
      </c>
      <c r="T13" s="139">
        <f t="shared" si="5"/>
        <v>50</v>
      </c>
      <c r="U13" s="139">
        <v>50</v>
      </c>
      <c r="V13" s="139"/>
      <c r="W13" s="139"/>
      <c r="X13" s="139"/>
      <c r="Y13" s="139"/>
      <c r="Z13" s="139"/>
      <c r="AA13" s="139"/>
      <c r="AB13" s="139"/>
      <c r="AC13" s="139"/>
      <c r="AD13" s="139"/>
      <c r="AE13" s="139"/>
      <c r="AF13" s="139"/>
      <c r="AG13" s="139"/>
      <c r="AH13" s="139"/>
      <c r="AI13" s="139"/>
      <c r="AJ13" s="139">
        <f t="shared" si="6"/>
        <v>4077</v>
      </c>
      <c r="AK13" s="139"/>
      <c r="AL13" s="139"/>
      <c r="AM13" s="139">
        <f>1419+1499+40+1</f>
        <v>2959</v>
      </c>
      <c r="AN13" s="139"/>
      <c r="AO13" s="139">
        <f>1238-120</f>
        <v>1118</v>
      </c>
      <c r="AP13" s="139"/>
      <c r="AQ13" s="139"/>
      <c r="AR13" s="139"/>
      <c r="AS13" s="139"/>
      <c r="AT13" s="139"/>
      <c r="AU13" s="82">
        <v>31723</v>
      </c>
      <c r="AV13" s="82">
        <v>31750</v>
      </c>
      <c r="AW13" s="82">
        <v>604</v>
      </c>
      <c r="AX13" s="82"/>
      <c r="AY13" s="82"/>
      <c r="AZ13" s="82"/>
      <c r="BA13" s="82"/>
      <c r="BB13" s="82">
        <f t="shared" si="7"/>
        <v>31146</v>
      </c>
      <c r="BC13" s="82">
        <f t="shared" ref="BC13:BC27" si="11">AU13-AW13-AX13+AZ13+BA13</f>
        <v>31119</v>
      </c>
      <c r="BE13" s="85">
        <v>5132</v>
      </c>
      <c r="BF13" s="85">
        <f t="shared" si="9"/>
        <v>68</v>
      </c>
      <c r="BG13" s="85">
        <v>5200</v>
      </c>
      <c r="BH13" s="85">
        <v>4467</v>
      </c>
      <c r="BJ13" s="85">
        <f t="shared" si="10"/>
        <v>36278</v>
      </c>
      <c r="VVU13" s="85"/>
      <c r="VXA13" s="87"/>
      <c r="VXM13" s="85"/>
      <c r="VYS13" s="87"/>
      <c r="VYV13" s="85"/>
    </row>
    <row r="14" ht="20" customHeight="1" spans="1:15544">
      <c r="A14" s="126" t="s">
        <v>286</v>
      </c>
      <c r="B14" s="108">
        <f>[2]表一!F85</f>
        <v>0</v>
      </c>
      <c r="C14" s="108"/>
      <c r="D14" s="108"/>
      <c r="E14" s="108">
        <f>B14+D14</f>
        <v>0</v>
      </c>
      <c r="F14" s="125" t="s">
        <v>287</v>
      </c>
      <c r="G14" s="82">
        <v>4587</v>
      </c>
      <c r="H14" s="82">
        <v>1887</v>
      </c>
      <c r="I14" s="82">
        <v>2700</v>
      </c>
      <c r="J14" s="139">
        <v>7909</v>
      </c>
      <c r="K14" s="139">
        <f t="shared" si="1"/>
        <v>3856</v>
      </c>
      <c r="L14" s="139"/>
      <c r="M14" s="139">
        <v>4136</v>
      </c>
      <c r="N14" s="139">
        <f t="shared" si="0"/>
        <v>8443</v>
      </c>
      <c r="O14" s="139">
        <f t="shared" si="2"/>
        <v>1983</v>
      </c>
      <c r="P14" s="139">
        <f t="shared" si="3"/>
        <v>6460</v>
      </c>
      <c r="Q14" s="139"/>
      <c r="R14" s="139">
        <v>208</v>
      </c>
      <c r="S14" s="139">
        <f t="shared" si="4"/>
        <v>1775</v>
      </c>
      <c r="T14" s="139">
        <f t="shared" si="5"/>
        <v>25</v>
      </c>
      <c r="U14" s="139"/>
      <c r="V14" s="139"/>
      <c r="W14" s="139"/>
      <c r="X14" s="139"/>
      <c r="Y14" s="139"/>
      <c r="Z14" s="139"/>
      <c r="AA14" s="139"/>
      <c r="AB14" s="139"/>
      <c r="AC14" s="139"/>
      <c r="AD14" s="139"/>
      <c r="AE14" s="139"/>
      <c r="AF14" s="139">
        <v>25</v>
      </c>
      <c r="AG14" s="139"/>
      <c r="AH14" s="139"/>
      <c r="AI14" s="139"/>
      <c r="AJ14" s="139">
        <f t="shared" si="6"/>
        <v>1750</v>
      </c>
      <c r="AK14" s="139"/>
      <c r="AL14" s="139"/>
      <c r="AM14" s="139"/>
      <c r="AN14" s="139"/>
      <c r="AO14" s="139"/>
      <c r="AP14" s="139"/>
      <c r="AQ14" s="139">
        <v>1750</v>
      </c>
      <c r="AR14" s="139"/>
      <c r="AS14" s="139"/>
      <c r="AT14" s="139"/>
      <c r="AU14" s="82">
        <v>6846</v>
      </c>
      <c r="AV14" s="82">
        <v>6850</v>
      </c>
      <c r="AW14" s="82">
        <v>30</v>
      </c>
      <c r="AX14" s="82">
        <v>360</v>
      </c>
      <c r="AY14" s="82">
        <v>-360</v>
      </c>
      <c r="AZ14" s="82"/>
      <c r="BA14" s="82"/>
      <c r="BB14" s="82">
        <f t="shared" si="7"/>
        <v>6460</v>
      </c>
      <c r="BC14" s="82">
        <f t="shared" si="11"/>
        <v>6456</v>
      </c>
      <c r="BE14" s="85">
        <v>201</v>
      </c>
      <c r="BF14" s="85">
        <f t="shared" si="9"/>
        <v>7</v>
      </c>
      <c r="BG14" s="85">
        <f>237-29</f>
        <v>208</v>
      </c>
      <c r="BH14" s="85">
        <v>237</v>
      </c>
      <c r="BJ14" s="85">
        <f t="shared" si="10"/>
        <v>6661</v>
      </c>
      <c r="VVU14" s="85"/>
      <c r="VXA14" s="87"/>
      <c r="VXM14" s="85"/>
      <c r="VYS14" s="87"/>
      <c r="VYV14" s="85"/>
    </row>
    <row r="15" ht="20" customHeight="1" spans="1:15544">
      <c r="A15" s="126" t="s">
        <v>288</v>
      </c>
      <c r="B15" s="108">
        <f>[2]表一!F86</f>
        <v>0</v>
      </c>
      <c r="C15" s="108"/>
      <c r="D15" s="108"/>
      <c r="E15" s="108">
        <f>B15+D15</f>
        <v>0</v>
      </c>
      <c r="F15" s="125" t="s">
        <v>289</v>
      </c>
      <c r="G15" s="82">
        <v>12992</v>
      </c>
      <c r="H15" s="82">
        <v>2492</v>
      </c>
      <c r="I15" s="82">
        <v>10500</v>
      </c>
      <c r="J15" s="139">
        <v>10209</v>
      </c>
      <c r="K15" s="139">
        <f t="shared" si="1"/>
        <v>-1171</v>
      </c>
      <c r="L15" s="139"/>
      <c r="M15" s="139">
        <v>-5046</v>
      </c>
      <c r="N15" s="139">
        <f t="shared" si="0"/>
        <v>11821</v>
      </c>
      <c r="O15" s="139">
        <f t="shared" si="2"/>
        <v>4887</v>
      </c>
      <c r="P15" s="139">
        <f t="shared" si="3"/>
        <v>6934</v>
      </c>
      <c r="Q15" s="139"/>
      <c r="R15" s="139">
        <f>1117+1500</f>
        <v>2617</v>
      </c>
      <c r="S15" s="139">
        <f t="shared" si="4"/>
        <v>2270</v>
      </c>
      <c r="T15" s="139">
        <f t="shared" si="5"/>
        <v>2250</v>
      </c>
      <c r="U15" s="139"/>
      <c r="V15" s="139"/>
      <c r="W15" s="139"/>
      <c r="X15" s="139"/>
      <c r="Y15" s="139"/>
      <c r="Z15" s="139"/>
      <c r="AA15" s="139"/>
      <c r="AB15" s="139">
        <v>1650</v>
      </c>
      <c r="AC15" s="139"/>
      <c r="AD15" s="139"/>
      <c r="AE15" s="139"/>
      <c r="AF15" s="139">
        <v>400</v>
      </c>
      <c r="AG15" s="139">
        <v>200</v>
      </c>
      <c r="AH15" s="139"/>
      <c r="AI15" s="139"/>
      <c r="AJ15" s="139">
        <f t="shared" si="6"/>
        <v>20</v>
      </c>
      <c r="AK15" s="139"/>
      <c r="AL15" s="139"/>
      <c r="AM15" s="139">
        <v>20</v>
      </c>
      <c r="AN15" s="139"/>
      <c r="AO15" s="139"/>
      <c r="AP15" s="139"/>
      <c r="AQ15" s="139"/>
      <c r="AR15" s="139"/>
      <c r="AS15" s="139"/>
      <c r="AT15" s="139"/>
      <c r="AU15" s="82">
        <v>5454</v>
      </c>
      <c r="AV15" s="82">
        <v>5500</v>
      </c>
      <c r="AW15" s="82"/>
      <c r="AX15" s="82"/>
      <c r="AY15" s="82"/>
      <c r="AZ15" s="82"/>
      <c r="BA15" s="82">
        <v>1434</v>
      </c>
      <c r="BB15" s="82">
        <f t="shared" si="7"/>
        <v>6934</v>
      </c>
      <c r="BC15" s="82">
        <f t="shared" si="11"/>
        <v>6888</v>
      </c>
      <c r="BE15" s="85">
        <v>1109</v>
      </c>
      <c r="BF15" s="85">
        <f t="shared" si="9"/>
        <v>1508</v>
      </c>
      <c r="BG15" s="85">
        <v>1117</v>
      </c>
      <c r="BH15" s="85">
        <v>1117</v>
      </c>
      <c r="BJ15" s="85">
        <f t="shared" si="10"/>
        <v>8043</v>
      </c>
      <c r="VVU15" s="85"/>
      <c r="VXA15" s="87"/>
      <c r="VXM15" s="85"/>
      <c r="VYS15" s="87"/>
      <c r="VYV15" s="85"/>
    </row>
    <row r="16" ht="20" customHeight="1" spans="1:15544">
      <c r="A16" s="126" t="s">
        <v>200</v>
      </c>
      <c r="B16" s="108"/>
      <c r="C16" s="108"/>
      <c r="D16" s="108">
        <v>1443</v>
      </c>
      <c r="E16" s="108">
        <f>B16+D16</f>
        <v>1443</v>
      </c>
      <c r="F16" s="125" t="s">
        <v>290</v>
      </c>
      <c r="G16" s="82">
        <v>219780</v>
      </c>
      <c r="H16" s="82">
        <v>139994</v>
      </c>
      <c r="I16" s="82">
        <v>79786</v>
      </c>
      <c r="J16" s="139">
        <f>183251+39000-10000</f>
        <v>212251</v>
      </c>
      <c r="K16" s="139">
        <f t="shared" si="1"/>
        <v>4464</v>
      </c>
      <c r="L16" s="139"/>
      <c r="M16" s="139">
        <v>-2182</v>
      </c>
      <c r="N16" s="139">
        <f t="shared" si="0"/>
        <v>224244</v>
      </c>
      <c r="O16" s="139">
        <f>R16+S16+350</f>
        <v>140890</v>
      </c>
      <c r="P16" s="139">
        <f t="shared" si="3"/>
        <v>83354</v>
      </c>
      <c r="Q16" s="139"/>
      <c r="R16" s="139">
        <f>5632+1500-795</f>
        <v>6337</v>
      </c>
      <c r="S16" s="139">
        <f t="shared" si="4"/>
        <v>134203</v>
      </c>
      <c r="T16" s="139">
        <f t="shared" si="5"/>
        <v>525</v>
      </c>
      <c r="U16" s="139"/>
      <c r="V16" s="139"/>
      <c r="W16" s="139"/>
      <c r="X16" s="139"/>
      <c r="Y16" s="139"/>
      <c r="Z16" s="139"/>
      <c r="AA16" s="139"/>
      <c r="AB16" s="139"/>
      <c r="AC16" s="139"/>
      <c r="AD16" s="139"/>
      <c r="AE16" s="139"/>
      <c r="AF16" s="139">
        <v>525</v>
      </c>
      <c r="AG16" s="139"/>
      <c r="AH16" s="139"/>
      <c r="AI16" s="139"/>
      <c r="AJ16" s="139">
        <f t="shared" si="6"/>
        <v>133678</v>
      </c>
      <c r="AK16" s="139">
        <v>131530</v>
      </c>
      <c r="AL16" s="139">
        <v>250</v>
      </c>
      <c r="AM16" s="139"/>
      <c r="AN16" s="139"/>
      <c r="AO16" s="139"/>
      <c r="AP16" s="139"/>
      <c r="AQ16" s="139"/>
      <c r="AR16" s="139"/>
      <c r="AS16" s="139">
        <f>1358+400+140</f>
        <v>1898</v>
      </c>
      <c r="AT16" s="139"/>
      <c r="AU16" s="82">
        <f>78144-573+547</f>
        <v>78118</v>
      </c>
      <c r="AV16" s="82">
        <f>79000-50-500-100</f>
        <v>78350</v>
      </c>
      <c r="AW16" s="82">
        <v>762</v>
      </c>
      <c r="AX16" s="82">
        <v>34881</v>
      </c>
      <c r="AY16" s="82">
        <v>-34881</v>
      </c>
      <c r="AZ16" s="82">
        <f>AX28</f>
        <v>40459</v>
      </c>
      <c r="BA16" s="82">
        <f>716-400-128</f>
        <v>188</v>
      </c>
      <c r="BB16" s="82">
        <f t="shared" si="7"/>
        <v>83354</v>
      </c>
      <c r="BC16" s="82">
        <f t="shared" si="11"/>
        <v>83122</v>
      </c>
      <c r="BE16" s="85">
        <v>5577</v>
      </c>
      <c r="BF16" s="85">
        <f t="shared" si="9"/>
        <v>760</v>
      </c>
      <c r="BG16" s="85">
        <f>6032-400</f>
        <v>5632</v>
      </c>
      <c r="BH16" s="85">
        <v>6032</v>
      </c>
      <c r="BJ16" s="85">
        <f t="shared" si="10"/>
        <v>88931</v>
      </c>
      <c r="VVU16" s="85"/>
      <c r="VXA16" s="87"/>
      <c r="VXM16" s="85"/>
      <c r="VYS16" s="87"/>
      <c r="VYV16" s="85"/>
    </row>
    <row r="17" ht="20" customHeight="1" spans="1:15544">
      <c r="A17" s="126" t="s">
        <v>201</v>
      </c>
      <c r="B17" s="108"/>
      <c r="C17" s="108"/>
      <c r="D17" s="108">
        <v>208</v>
      </c>
      <c r="E17" s="108">
        <f>B17+D17</f>
        <v>208</v>
      </c>
      <c r="F17" s="125" t="s">
        <v>291</v>
      </c>
      <c r="G17" s="82">
        <v>3728</v>
      </c>
      <c r="H17" s="82">
        <v>728</v>
      </c>
      <c r="I17" s="82">
        <v>3000</v>
      </c>
      <c r="J17" s="139">
        <v>5884</v>
      </c>
      <c r="K17" s="139">
        <f t="shared" si="1"/>
        <v>2574</v>
      </c>
      <c r="L17" s="139"/>
      <c r="M17" s="139">
        <v>6511</v>
      </c>
      <c r="N17" s="139">
        <f t="shared" ref="N17:N27" si="12">SUM(O17:P17)</f>
        <v>6302</v>
      </c>
      <c r="O17" s="139">
        <f t="shared" si="2"/>
        <v>1012</v>
      </c>
      <c r="P17" s="139">
        <f t="shared" si="3"/>
        <v>5290</v>
      </c>
      <c r="Q17" s="139"/>
      <c r="R17" s="139">
        <v>702</v>
      </c>
      <c r="S17" s="139">
        <f t="shared" si="4"/>
        <v>310</v>
      </c>
      <c r="T17" s="139">
        <f t="shared" si="5"/>
        <v>50</v>
      </c>
      <c r="U17" s="139"/>
      <c r="V17" s="139"/>
      <c r="W17" s="139"/>
      <c r="X17" s="139"/>
      <c r="Y17" s="139"/>
      <c r="Z17" s="139"/>
      <c r="AA17" s="139"/>
      <c r="AB17" s="139"/>
      <c r="AC17" s="139"/>
      <c r="AD17" s="139"/>
      <c r="AE17" s="139">
        <v>50</v>
      </c>
      <c r="AF17" s="139"/>
      <c r="AG17" s="139"/>
      <c r="AH17" s="139"/>
      <c r="AI17" s="139"/>
      <c r="AJ17" s="139">
        <f t="shared" si="6"/>
        <v>260</v>
      </c>
      <c r="AK17" s="139"/>
      <c r="AL17" s="139"/>
      <c r="AM17" s="139"/>
      <c r="AN17" s="139"/>
      <c r="AO17" s="139"/>
      <c r="AP17" s="139"/>
      <c r="AQ17" s="139"/>
      <c r="AR17" s="139"/>
      <c r="AS17" s="139">
        <v>260</v>
      </c>
      <c r="AT17" s="139"/>
      <c r="AU17" s="82">
        <v>9591</v>
      </c>
      <c r="AV17" s="82">
        <v>9600</v>
      </c>
      <c r="AW17" s="82"/>
      <c r="AX17" s="82">
        <v>4310</v>
      </c>
      <c r="AY17" s="82">
        <v>-4310</v>
      </c>
      <c r="AZ17" s="82"/>
      <c r="BA17" s="82"/>
      <c r="BB17" s="82">
        <f t="shared" si="7"/>
        <v>5290</v>
      </c>
      <c r="BC17" s="82">
        <f t="shared" si="11"/>
        <v>5281</v>
      </c>
      <c r="BE17" s="85">
        <v>664</v>
      </c>
      <c r="BF17" s="85">
        <f t="shared" si="9"/>
        <v>38</v>
      </c>
      <c r="BG17" s="85">
        <v>702</v>
      </c>
      <c r="BH17" s="85">
        <v>702</v>
      </c>
      <c r="BJ17" s="85">
        <f t="shared" si="10"/>
        <v>5954</v>
      </c>
      <c r="VVU17" s="85"/>
      <c r="VXA17" s="87"/>
      <c r="VXM17" s="85"/>
      <c r="VYS17" s="87"/>
      <c r="VYV17" s="85"/>
    </row>
    <row r="18" ht="20" customHeight="1" spans="1:15544">
      <c r="A18" s="126" t="s">
        <v>292</v>
      </c>
      <c r="B18" s="108">
        <f>[2]表一!F88</f>
        <v>8040</v>
      </c>
      <c r="C18" s="108">
        <v>8040</v>
      </c>
      <c r="D18" s="108">
        <v>4560</v>
      </c>
      <c r="E18" s="108">
        <f>B18+D18</f>
        <v>12600</v>
      </c>
      <c r="F18" s="125" t="s">
        <v>293</v>
      </c>
      <c r="G18" s="82">
        <v>1998</v>
      </c>
      <c r="H18" s="82">
        <v>998</v>
      </c>
      <c r="I18" s="82">
        <v>1000</v>
      </c>
      <c r="J18" s="139">
        <v>1949</v>
      </c>
      <c r="K18" s="139">
        <f t="shared" si="1"/>
        <v>75</v>
      </c>
      <c r="L18" s="139"/>
      <c r="M18" s="139">
        <v>-323</v>
      </c>
      <c r="N18" s="139">
        <f t="shared" si="12"/>
        <v>2073</v>
      </c>
      <c r="O18" s="139">
        <f t="shared" si="2"/>
        <v>1273</v>
      </c>
      <c r="P18" s="139">
        <f t="shared" si="3"/>
        <v>800</v>
      </c>
      <c r="Q18" s="139"/>
      <c r="R18" s="139">
        <v>548</v>
      </c>
      <c r="S18" s="139">
        <f t="shared" si="4"/>
        <v>725</v>
      </c>
      <c r="T18" s="139">
        <f t="shared" si="5"/>
        <v>650</v>
      </c>
      <c r="U18" s="139"/>
      <c r="V18" s="139"/>
      <c r="W18" s="139"/>
      <c r="X18" s="139"/>
      <c r="Y18" s="139"/>
      <c r="Z18" s="139"/>
      <c r="AA18" s="139">
        <v>450</v>
      </c>
      <c r="AB18" s="139"/>
      <c r="AC18" s="139"/>
      <c r="AD18" s="139">
        <v>200</v>
      </c>
      <c r="AE18" s="139"/>
      <c r="AF18" s="139"/>
      <c r="AG18" s="139"/>
      <c r="AH18" s="139"/>
      <c r="AI18" s="139"/>
      <c r="AJ18" s="139">
        <f t="shared" si="6"/>
        <v>75</v>
      </c>
      <c r="AK18" s="139"/>
      <c r="AL18" s="139">
        <v>75</v>
      </c>
      <c r="AM18" s="139"/>
      <c r="AN18" s="139"/>
      <c r="AO18" s="139"/>
      <c r="AP18" s="139"/>
      <c r="AQ18" s="139"/>
      <c r="AR18" s="139"/>
      <c r="AS18" s="139"/>
      <c r="AT18" s="139"/>
      <c r="AU18" s="82">
        <v>677</v>
      </c>
      <c r="AV18" s="82">
        <f>700+100</f>
        <v>800</v>
      </c>
      <c r="AW18" s="82"/>
      <c r="AX18" s="82"/>
      <c r="AY18" s="82"/>
      <c r="AZ18" s="82"/>
      <c r="BA18" s="82"/>
      <c r="BB18" s="82">
        <f t="shared" si="7"/>
        <v>800</v>
      </c>
      <c r="BC18" s="82">
        <f t="shared" si="11"/>
        <v>677</v>
      </c>
      <c r="BE18" s="85">
        <v>516</v>
      </c>
      <c r="BF18" s="85">
        <f t="shared" si="9"/>
        <v>32</v>
      </c>
      <c r="BG18" s="85">
        <v>548</v>
      </c>
      <c r="BH18" s="85">
        <v>548</v>
      </c>
      <c r="BJ18" s="85">
        <f t="shared" si="10"/>
        <v>1316</v>
      </c>
      <c r="VVU18" s="85"/>
      <c r="VXA18" s="87"/>
      <c r="VXM18" s="85"/>
      <c r="VYS18" s="87"/>
      <c r="VYV18" s="85"/>
    </row>
    <row r="19" ht="20" customHeight="1" spans="1:15544">
      <c r="A19" s="126" t="s">
        <v>294</v>
      </c>
      <c r="B19" s="39">
        <f>B20+B21</f>
        <v>133813</v>
      </c>
      <c r="C19" s="39">
        <f>C20+C21</f>
        <v>133813</v>
      </c>
      <c r="D19" s="39">
        <f>D20+D21</f>
        <v>0</v>
      </c>
      <c r="E19" s="39">
        <f>[2]表一!I89</f>
        <v>133813</v>
      </c>
      <c r="F19" s="125" t="s">
        <v>295</v>
      </c>
      <c r="G19" s="82">
        <v>117</v>
      </c>
      <c r="H19" s="82">
        <v>117</v>
      </c>
      <c r="I19" s="82">
        <v>0</v>
      </c>
      <c r="J19" s="139">
        <v>246</v>
      </c>
      <c r="K19" s="139">
        <f t="shared" si="1"/>
        <v>170</v>
      </c>
      <c r="L19" s="139"/>
      <c r="M19" s="139">
        <v>168</v>
      </c>
      <c r="N19" s="139">
        <f t="shared" si="12"/>
        <v>287</v>
      </c>
      <c r="O19" s="139">
        <f t="shared" si="2"/>
        <v>117</v>
      </c>
      <c r="P19" s="139">
        <f t="shared" si="3"/>
        <v>170</v>
      </c>
      <c r="Q19" s="139"/>
      <c r="R19" s="139">
        <v>117</v>
      </c>
      <c r="S19" s="139">
        <f t="shared" si="4"/>
        <v>0</v>
      </c>
      <c r="T19" s="139">
        <f t="shared" si="5"/>
        <v>0</v>
      </c>
      <c r="U19" s="139"/>
      <c r="V19" s="139"/>
      <c r="W19" s="139"/>
      <c r="X19" s="139"/>
      <c r="Y19" s="139"/>
      <c r="Z19" s="139"/>
      <c r="AA19" s="139"/>
      <c r="AB19" s="139"/>
      <c r="AC19" s="139"/>
      <c r="AD19" s="139"/>
      <c r="AE19" s="139"/>
      <c r="AF19" s="139"/>
      <c r="AG19" s="139"/>
      <c r="AH19" s="139"/>
      <c r="AI19" s="139"/>
      <c r="AJ19" s="139">
        <f t="shared" si="6"/>
        <v>0</v>
      </c>
      <c r="AK19" s="139"/>
      <c r="AL19" s="139"/>
      <c r="AM19" s="139"/>
      <c r="AN19" s="139"/>
      <c r="AO19" s="139"/>
      <c r="AP19" s="139"/>
      <c r="AQ19" s="139"/>
      <c r="AR19" s="139"/>
      <c r="AS19" s="139"/>
      <c r="AT19" s="139"/>
      <c r="AU19" s="82">
        <v>168</v>
      </c>
      <c r="AV19" s="82">
        <v>170</v>
      </c>
      <c r="AW19" s="82"/>
      <c r="AX19" s="82"/>
      <c r="AY19" s="82"/>
      <c r="AZ19" s="82"/>
      <c r="BA19" s="82"/>
      <c r="BB19" s="82">
        <f t="shared" si="7"/>
        <v>170</v>
      </c>
      <c r="BC19" s="82">
        <f t="shared" si="11"/>
        <v>168</v>
      </c>
      <c r="BE19" s="85">
        <v>116</v>
      </c>
      <c r="BF19" s="85">
        <f t="shared" si="9"/>
        <v>1</v>
      </c>
      <c r="BG19" s="85">
        <v>117</v>
      </c>
      <c r="BH19" s="85">
        <v>117</v>
      </c>
      <c r="BJ19" s="85">
        <f t="shared" si="10"/>
        <v>286</v>
      </c>
      <c r="VVU19" s="85"/>
      <c r="VXA19" s="87"/>
      <c r="VXM19" s="85"/>
      <c r="VYS19" s="87"/>
      <c r="VYV19" s="85"/>
    </row>
    <row r="20" ht="20" customHeight="1" spans="1:15544">
      <c r="A20" s="126" t="s">
        <v>204</v>
      </c>
      <c r="B20" s="108">
        <f>[2]表一!F90</f>
        <v>123763</v>
      </c>
      <c r="C20" s="108">
        <v>123763</v>
      </c>
      <c r="D20" s="108"/>
      <c r="E20" s="39">
        <v>123763</v>
      </c>
      <c r="F20" s="125" t="s">
        <v>296</v>
      </c>
      <c r="G20" s="82"/>
      <c r="H20" s="82"/>
      <c r="I20" s="82"/>
      <c r="J20" s="139">
        <f>BE20+P20</f>
        <v>20</v>
      </c>
      <c r="K20" s="139">
        <f t="shared" si="1"/>
        <v>20</v>
      </c>
      <c r="L20" s="139"/>
      <c r="M20" s="139">
        <v>20</v>
      </c>
      <c r="N20" s="139">
        <f t="shared" si="12"/>
        <v>20</v>
      </c>
      <c r="O20" s="139">
        <f t="shared" si="2"/>
        <v>0</v>
      </c>
      <c r="P20" s="139">
        <f t="shared" si="3"/>
        <v>20</v>
      </c>
      <c r="Q20" s="139"/>
      <c r="R20" s="139"/>
      <c r="S20" s="139">
        <f t="shared" si="4"/>
        <v>0</v>
      </c>
      <c r="T20" s="139">
        <f t="shared" si="5"/>
        <v>0</v>
      </c>
      <c r="U20" s="139"/>
      <c r="V20" s="139"/>
      <c r="W20" s="139"/>
      <c r="X20" s="139"/>
      <c r="Y20" s="139"/>
      <c r="Z20" s="139"/>
      <c r="AA20" s="139"/>
      <c r="AB20" s="139"/>
      <c r="AC20" s="139"/>
      <c r="AD20" s="139"/>
      <c r="AE20" s="139"/>
      <c r="AF20" s="139"/>
      <c r="AG20" s="139"/>
      <c r="AH20" s="139"/>
      <c r="AI20" s="139"/>
      <c r="AJ20" s="139">
        <f t="shared" si="6"/>
        <v>0</v>
      </c>
      <c r="AK20" s="139"/>
      <c r="AL20" s="139"/>
      <c r="AM20" s="139"/>
      <c r="AN20" s="139"/>
      <c r="AO20" s="139"/>
      <c r="AP20" s="139"/>
      <c r="AQ20" s="139"/>
      <c r="AR20" s="139"/>
      <c r="AS20" s="139"/>
      <c r="AT20" s="139"/>
      <c r="AU20" s="82">
        <v>20</v>
      </c>
      <c r="AV20" s="82">
        <v>20</v>
      </c>
      <c r="AW20" s="82"/>
      <c r="AX20" s="82"/>
      <c r="AY20" s="82"/>
      <c r="AZ20" s="82"/>
      <c r="BA20" s="82"/>
      <c r="BB20" s="82">
        <f t="shared" si="7"/>
        <v>20</v>
      </c>
      <c r="BC20" s="82">
        <f t="shared" si="11"/>
        <v>20</v>
      </c>
      <c r="BF20" s="85">
        <f t="shared" si="9"/>
        <v>0</v>
      </c>
      <c r="BJ20" s="85">
        <f t="shared" si="10"/>
        <v>20</v>
      </c>
      <c r="VVU20" s="85"/>
      <c r="VXA20" s="87"/>
      <c r="VXM20" s="85"/>
      <c r="VYS20" s="87"/>
      <c r="VYV20" s="85"/>
    </row>
    <row r="21" ht="20" customHeight="1" spans="1:15544">
      <c r="A21" s="52" t="s">
        <v>205</v>
      </c>
      <c r="B21" s="108">
        <f>[2]表一!F91</f>
        <v>10050</v>
      </c>
      <c r="C21" s="108">
        <v>10050</v>
      </c>
      <c r="D21" s="108"/>
      <c r="E21" s="39">
        <v>10050</v>
      </c>
      <c r="F21" s="52" t="s">
        <v>297</v>
      </c>
      <c r="G21" s="82">
        <v>1438</v>
      </c>
      <c r="H21" s="82">
        <v>938</v>
      </c>
      <c r="I21" s="82">
        <v>500</v>
      </c>
      <c r="J21" s="139">
        <f>BE21+P21</f>
        <v>1733</v>
      </c>
      <c r="K21" s="139">
        <f t="shared" si="1"/>
        <v>1125</v>
      </c>
      <c r="L21" s="139"/>
      <c r="M21" s="139">
        <v>-11</v>
      </c>
      <c r="N21" s="139">
        <f t="shared" si="12"/>
        <v>2563</v>
      </c>
      <c r="O21" s="139">
        <f t="shared" si="2"/>
        <v>1563</v>
      </c>
      <c r="P21" s="139">
        <f t="shared" si="3"/>
        <v>1000</v>
      </c>
      <c r="Q21" s="139"/>
      <c r="R21" s="139">
        <f>858+225</f>
        <v>1083</v>
      </c>
      <c r="S21" s="139">
        <f t="shared" si="4"/>
        <v>480</v>
      </c>
      <c r="T21" s="139">
        <f t="shared" si="5"/>
        <v>400</v>
      </c>
      <c r="U21" s="139"/>
      <c r="V21" s="139"/>
      <c r="W21" s="139"/>
      <c r="X21" s="139"/>
      <c r="Y21" s="139"/>
      <c r="Z21" s="139"/>
      <c r="AA21" s="139"/>
      <c r="AB21" s="139"/>
      <c r="AC21" s="139"/>
      <c r="AD21" s="139"/>
      <c r="AE21" s="139"/>
      <c r="AF21" s="139">
        <v>400</v>
      </c>
      <c r="AG21" s="139"/>
      <c r="AH21" s="139"/>
      <c r="AI21" s="139"/>
      <c r="AJ21" s="139">
        <f t="shared" si="6"/>
        <v>80</v>
      </c>
      <c r="AK21" s="139"/>
      <c r="AL21" s="139"/>
      <c r="AM21" s="139"/>
      <c r="AN21" s="139"/>
      <c r="AO21" s="139"/>
      <c r="AP21" s="139"/>
      <c r="AQ21" s="139"/>
      <c r="AR21" s="139"/>
      <c r="AS21" s="139">
        <f>10+70</f>
        <v>80</v>
      </c>
      <c r="AT21" s="139"/>
      <c r="AU21" s="82">
        <v>989</v>
      </c>
      <c r="AV21" s="82">
        <v>1000</v>
      </c>
      <c r="AW21" s="82"/>
      <c r="AX21" s="82"/>
      <c r="AY21" s="82"/>
      <c r="AZ21" s="82"/>
      <c r="BA21" s="82"/>
      <c r="BB21" s="82">
        <f t="shared" si="7"/>
        <v>1000</v>
      </c>
      <c r="BC21" s="82">
        <f t="shared" si="11"/>
        <v>989</v>
      </c>
      <c r="BE21" s="85">
        <v>733</v>
      </c>
      <c r="BF21" s="85">
        <f t="shared" si="9"/>
        <v>350</v>
      </c>
      <c r="BG21" s="85">
        <v>858</v>
      </c>
      <c r="BH21" s="85">
        <v>858</v>
      </c>
      <c r="BJ21" s="85">
        <f t="shared" si="10"/>
        <v>1733</v>
      </c>
      <c r="VVU21" s="85"/>
      <c r="VXA21" s="87"/>
      <c r="VXM21" s="85"/>
      <c r="VYS21" s="87"/>
      <c r="VYV21" s="85"/>
    </row>
    <row r="22" ht="20" customHeight="1" spans="1:15544">
      <c r="A22" s="127"/>
      <c r="B22" s="128"/>
      <c r="C22" s="128"/>
      <c r="D22" s="128"/>
      <c r="E22" s="128"/>
      <c r="F22" s="52" t="s">
        <v>298</v>
      </c>
      <c r="G22" s="82">
        <v>9685</v>
      </c>
      <c r="H22" s="82">
        <v>5685</v>
      </c>
      <c r="I22" s="82">
        <v>4000</v>
      </c>
      <c r="J22" s="139">
        <v>6126</v>
      </c>
      <c r="K22" s="139">
        <f t="shared" si="1"/>
        <v>-2611</v>
      </c>
      <c r="L22" s="139"/>
      <c r="M22" s="139">
        <v>-1557</v>
      </c>
      <c r="N22" s="139">
        <f t="shared" si="12"/>
        <v>7074</v>
      </c>
      <c r="O22" s="139">
        <f t="shared" si="2"/>
        <v>5532</v>
      </c>
      <c r="P22" s="139">
        <f t="shared" si="3"/>
        <v>1542</v>
      </c>
      <c r="Q22" s="139"/>
      <c r="R22" s="139">
        <v>5532</v>
      </c>
      <c r="S22" s="139">
        <f t="shared" si="4"/>
        <v>0</v>
      </c>
      <c r="T22" s="139">
        <f t="shared" si="5"/>
        <v>0</v>
      </c>
      <c r="U22" s="139"/>
      <c r="V22" s="139"/>
      <c r="W22" s="139"/>
      <c r="X22" s="139"/>
      <c r="Y22" s="139"/>
      <c r="Z22" s="139"/>
      <c r="AA22" s="139"/>
      <c r="AB22" s="139"/>
      <c r="AC22" s="139"/>
      <c r="AD22" s="139"/>
      <c r="AE22" s="139"/>
      <c r="AF22" s="139"/>
      <c r="AG22" s="139"/>
      <c r="AH22" s="139"/>
      <c r="AI22" s="139"/>
      <c r="AJ22" s="139">
        <f t="shared" si="6"/>
        <v>0</v>
      </c>
      <c r="AK22" s="139"/>
      <c r="AL22" s="139"/>
      <c r="AM22" s="139"/>
      <c r="AN22" s="139"/>
      <c r="AO22" s="139"/>
      <c r="AP22" s="139"/>
      <c r="AQ22" s="139"/>
      <c r="AR22" s="139"/>
      <c r="AS22" s="139"/>
      <c r="AT22" s="139"/>
      <c r="AU22" s="82">
        <v>2443</v>
      </c>
      <c r="AV22" s="82">
        <v>2450</v>
      </c>
      <c r="AW22" s="82"/>
      <c r="AX22" s="82">
        <v>908</v>
      </c>
      <c r="AY22" s="82">
        <v>-908</v>
      </c>
      <c r="AZ22" s="82"/>
      <c r="BA22" s="82"/>
      <c r="BB22" s="82">
        <f t="shared" si="7"/>
        <v>1542</v>
      </c>
      <c r="BC22" s="82">
        <f t="shared" si="11"/>
        <v>1535</v>
      </c>
      <c r="BE22" s="85">
        <v>5532</v>
      </c>
      <c r="BF22" s="85">
        <f t="shared" si="9"/>
        <v>0</v>
      </c>
      <c r="BG22" s="85">
        <v>5532</v>
      </c>
      <c r="BH22" s="85">
        <v>5532</v>
      </c>
      <c r="BJ22" s="85">
        <f t="shared" si="10"/>
        <v>7074</v>
      </c>
      <c r="VVU22" s="85"/>
      <c r="VXA22" s="87"/>
      <c r="VXM22" s="85"/>
      <c r="VYS22" s="87"/>
      <c r="VYV22" s="85"/>
    </row>
    <row r="23" ht="20" customHeight="1" spans="1:15544">
      <c r="A23" s="127"/>
      <c r="B23" s="128"/>
      <c r="C23" s="128"/>
      <c r="D23" s="128"/>
      <c r="E23" s="128"/>
      <c r="F23" s="52" t="s">
        <v>299</v>
      </c>
      <c r="G23" s="82">
        <v>6</v>
      </c>
      <c r="H23" s="82">
        <v>6</v>
      </c>
      <c r="I23" s="82">
        <v>0</v>
      </c>
      <c r="J23" s="139">
        <f>BE23+P23</f>
        <v>1350</v>
      </c>
      <c r="K23" s="139">
        <f t="shared" si="1"/>
        <v>1350</v>
      </c>
      <c r="L23" s="139"/>
      <c r="M23" s="139">
        <v>1300</v>
      </c>
      <c r="N23" s="139">
        <f t="shared" si="12"/>
        <v>1356</v>
      </c>
      <c r="O23" s="139">
        <f t="shared" si="2"/>
        <v>6</v>
      </c>
      <c r="P23" s="139">
        <f t="shared" si="3"/>
        <v>1350</v>
      </c>
      <c r="Q23" s="139"/>
      <c r="R23" s="139">
        <v>6</v>
      </c>
      <c r="S23" s="139">
        <f t="shared" si="4"/>
        <v>0</v>
      </c>
      <c r="T23" s="139">
        <f t="shared" si="5"/>
        <v>0</v>
      </c>
      <c r="U23" s="139"/>
      <c r="V23" s="139"/>
      <c r="W23" s="139"/>
      <c r="X23" s="139"/>
      <c r="Y23" s="139"/>
      <c r="Z23" s="139"/>
      <c r="AA23" s="139"/>
      <c r="AB23" s="139"/>
      <c r="AC23" s="139"/>
      <c r="AD23" s="139"/>
      <c r="AE23" s="139"/>
      <c r="AF23" s="139"/>
      <c r="AG23" s="139"/>
      <c r="AH23" s="139"/>
      <c r="AI23" s="139"/>
      <c r="AJ23" s="139">
        <f t="shared" si="6"/>
        <v>0</v>
      </c>
      <c r="AK23" s="139"/>
      <c r="AL23" s="139"/>
      <c r="AM23" s="139"/>
      <c r="AN23" s="139"/>
      <c r="AO23" s="139"/>
      <c r="AP23" s="139"/>
      <c r="AQ23" s="139"/>
      <c r="AR23" s="139"/>
      <c r="AS23" s="139"/>
      <c r="AT23" s="139"/>
      <c r="AU23" s="82">
        <v>1300</v>
      </c>
      <c r="AV23" s="82">
        <f>1300+50</f>
        <v>1350</v>
      </c>
      <c r="AW23" s="82"/>
      <c r="AX23" s="82"/>
      <c r="AY23" s="82"/>
      <c r="AZ23" s="82"/>
      <c r="BA23" s="82"/>
      <c r="BB23" s="82">
        <f t="shared" si="7"/>
        <v>1350</v>
      </c>
      <c r="BC23" s="82">
        <f t="shared" si="11"/>
        <v>1300</v>
      </c>
      <c r="BF23" s="85">
        <f t="shared" si="9"/>
        <v>6</v>
      </c>
      <c r="BG23" s="85">
        <v>6</v>
      </c>
      <c r="BH23" s="85">
        <v>6</v>
      </c>
      <c r="BJ23" s="85">
        <f t="shared" si="10"/>
        <v>1350</v>
      </c>
      <c r="VVU23" s="85"/>
      <c r="VXA23" s="87"/>
      <c r="VXM23" s="85"/>
      <c r="VYS23" s="87"/>
      <c r="VYV23" s="85"/>
    </row>
    <row r="24" ht="20" customHeight="1" spans="1:15544">
      <c r="A24" s="127"/>
      <c r="B24" s="128"/>
      <c r="C24" s="128"/>
      <c r="D24" s="128"/>
      <c r="E24" s="128"/>
      <c r="F24" s="52" t="s">
        <v>300</v>
      </c>
      <c r="G24" s="82">
        <v>2270</v>
      </c>
      <c r="H24" s="82">
        <v>770</v>
      </c>
      <c r="I24" s="82">
        <v>1500</v>
      </c>
      <c r="J24" s="139">
        <f>BE24+P24</f>
        <v>1517</v>
      </c>
      <c r="K24" s="139">
        <f t="shared" si="1"/>
        <v>-750</v>
      </c>
      <c r="L24" s="139"/>
      <c r="M24" s="139">
        <v>-567</v>
      </c>
      <c r="N24" s="139">
        <f t="shared" si="12"/>
        <v>1520</v>
      </c>
      <c r="O24" s="139">
        <f t="shared" si="2"/>
        <v>570</v>
      </c>
      <c r="P24" s="139">
        <f t="shared" si="3"/>
        <v>950</v>
      </c>
      <c r="Q24" s="139"/>
      <c r="R24" s="139">
        <v>570</v>
      </c>
      <c r="S24" s="139">
        <f t="shared" si="4"/>
        <v>0</v>
      </c>
      <c r="T24" s="139">
        <f t="shared" si="5"/>
        <v>0</v>
      </c>
      <c r="U24" s="139"/>
      <c r="V24" s="139"/>
      <c r="W24" s="139"/>
      <c r="X24" s="139"/>
      <c r="Y24" s="139"/>
      <c r="Z24" s="139"/>
      <c r="AA24" s="139"/>
      <c r="AB24" s="139"/>
      <c r="AC24" s="139"/>
      <c r="AD24" s="139"/>
      <c r="AE24" s="139"/>
      <c r="AF24" s="139"/>
      <c r="AG24" s="139"/>
      <c r="AH24" s="139"/>
      <c r="AI24" s="139"/>
      <c r="AJ24" s="139">
        <f t="shared" si="6"/>
        <v>0</v>
      </c>
      <c r="AK24" s="139"/>
      <c r="AL24" s="139"/>
      <c r="AM24" s="139"/>
      <c r="AN24" s="139"/>
      <c r="AO24" s="139"/>
      <c r="AP24" s="139"/>
      <c r="AQ24" s="139"/>
      <c r="AR24" s="139"/>
      <c r="AS24" s="139"/>
      <c r="AT24" s="139"/>
      <c r="AU24" s="82">
        <v>955</v>
      </c>
      <c r="AV24" s="82">
        <v>950</v>
      </c>
      <c r="AW24" s="82"/>
      <c r="AX24" s="82"/>
      <c r="AY24" s="82"/>
      <c r="AZ24" s="82"/>
      <c r="BA24" s="82"/>
      <c r="BB24" s="82">
        <f t="shared" si="7"/>
        <v>950</v>
      </c>
      <c r="BC24" s="82">
        <f t="shared" si="11"/>
        <v>955</v>
      </c>
      <c r="BE24" s="85">
        <v>567</v>
      </c>
      <c r="BF24" s="85">
        <f t="shared" si="9"/>
        <v>3</v>
      </c>
      <c r="BG24" s="85">
        <v>570</v>
      </c>
      <c r="BH24" s="85">
        <v>570</v>
      </c>
      <c r="BJ24" s="85">
        <f t="shared" si="10"/>
        <v>1517</v>
      </c>
      <c r="VVU24" s="85"/>
      <c r="VXA24" s="87"/>
      <c r="VXM24" s="85"/>
      <c r="VYS24" s="87"/>
      <c r="VYV24" s="85"/>
    </row>
    <row r="25" ht="20" customHeight="1" spans="1:15544">
      <c r="A25" s="127"/>
      <c r="B25" s="128"/>
      <c r="C25" s="128"/>
      <c r="D25" s="128"/>
      <c r="E25" s="128"/>
      <c r="F25" s="52" t="s">
        <v>301</v>
      </c>
      <c r="G25" s="82">
        <v>3599</v>
      </c>
      <c r="H25" s="82">
        <v>0</v>
      </c>
      <c r="I25" s="82">
        <v>3599</v>
      </c>
      <c r="J25" s="139">
        <f>BE25+P25</f>
        <v>0</v>
      </c>
      <c r="K25" s="139">
        <f t="shared" si="1"/>
        <v>-3599</v>
      </c>
      <c r="L25" s="139"/>
      <c r="M25" s="139">
        <v>892</v>
      </c>
      <c r="N25" s="139">
        <f t="shared" si="12"/>
        <v>0</v>
      </c>
      <c r="O25" s="139">
        <f t="shared" si="2"/>
        <v>0</v>
      </c>
      <c r="P25" s="139">
        <f t="shared" si="3"/>
        <v>0</v>
      </c>
      <c r="Q25" s="139"/>
      <c r="R25" s="139"/>
      <c r="S25" s="139">
        <f t="shared" si="4"/>
        <v>0</v>
      </c>
      <c r="T25" s="139">
        <f t="shared" si="5"/>
        <v>0</v>
      </c>
      <c r="U25" s="139"/>
      <c r="V25" s="139"/>
      <c r="W25" s="139"/>
      <c r="X25" s="139"/>
      <c r="Y25" s="139"/>
      <c r="Z25" s="139"/>
      <c r="AA25" s="139"/>
      <c r="AB25" s="139"/>
      <c r="AC25" s="139"/>
      <c r="AD25" s="139"/>
      <c r="AE25" s="139"/>
      <c r="AF25" s="139"/>
      <c r="AG25" s="139"/>
      <c r="AH25" s="139"/>
      <c r="AI25" s="139"/>
      <c r="AJ25" s="139">
        <f t="shared" si="6"/>
        <v>0</v>
      </c>
      <c r="AK25" s="139"/>
      <c r="AL25" s="139"/>
      <c r="AM25" s="139"/>
      <c r="AN25" s="139"/>
      <c r="AO25" s="139"/>
      <c r="AP25" s="139"/>
      <c r="AQ25" s="139"/>
      <c r="AR25" s="139"/>
      <c r="AS25" s="139"/>
      <c r="AT25" s="139"/>
      <c r="AU25" s="82">
        <v>4510</v>
      </c>
      <c r="AV25" s="82">
        <v>4600</v>
      </c>
      <c r="AW25" s="82"/>
      <c r="AX25" s="82"/>
      <c r="AY25" s="82"/>
      <c r="AZ25" s="82">
        <v>-4600</v>
      </c>
      <c r="BA25" s="82"/>
      <c r="BB25" s="82">
        <f t="shared" si="7"/>
        <v>0</v>
      </c>
      <c r="BC25" s="82">
        <f t="shared" si="11"/>
        <v>-90</v>
      </c>
      <c r="BF25" s="85">
        <f t="shared" si="9"/>
        <v>0</v>
      </c>
      <c r="BJ25" s="85">
        <f t="shared" si="10"/>
        <v>0</v>
      </c>
      <c r="VVU25" s="85"/>
      <c r="VXA25" s="87"/>
      <c r="VXM25" s="85"/>
      <c r="VYS25" s="87"/>
      <c r="VYV25" s="85"/>
    </row>
    <row r="26" ht="20" customHeight="1" spans="1:15544">
      <c r="A26" s="52"/>
      <c r="B26" s="128"/>
      <c r="C26" s="128"/>
      <c r="D26" s="128"/>
      <c r="E26" s="128"/>
      <c r="F26" s="52" t="s">
        <v>302</v>
      </c>
      <c r="G26" s="82">
        <v>4294</v>
      </c>
      <c r="H26" s="82">
        <v>4294</v>
      </c>
      <c r="I26" s="82">
        <v>0</v>
      </c>
      <c r="J26" s="139">
        <v>7609</v>
      </c>
      <c r="K26" s="139">
        <f t="shared" si="1"/>
        <v>4096</v>
      </c>
      <c r="L26" s="139"/>
      <c r="M26" s="139"/>
      <c r="N26" s="139">
        <f t="shared" si="12"/>
        <v>8390</v>
      </c>
      <c r="O26" s="139">
        <f t="shared" si="2"/>
        <v>8390</v>
      </c>
      <c r="P26" s="139">
        <f>I26+M26</f>
        <v>0</v>
      </c>
      <c r="Q26" s="139"/>
      <c r="R26" s="139"/>
      <c r="S26" s="139">
        <f t="shared" si="4"/>
        <v>8390</v>
      </c>
      <c r="T26" s="139">
        <f t="shared" si="5"/>
        <v>8390</v>
      </c>
      <c r="U26" s="139">
        <v>8390</v>
      </c>
      <c r="V26" s="139"/>
      <c r="W26" s="139"/>
      <c r="X26" s="139"/>
      <c r="Y26" s="139"/>
      <c r="Z26" s="139"/>
      <c r="AA26" s="139"/>
      <c r="AB26" s="139"/>
      <c r="AC26" s="139"/>
      <c r="AD26" s="139"/>
      <c r="AE26" s="139"/>
      <c r="AF26" s="139"/>
      <c r="AG26" s="139"/>
      <c r="AH26" s="139"/>
      <c r="AI26" s="139"/>
      <c r="AJ26" s="139">
        <f t="shared" si="6"/>
        <v>0</v>
      </c>
      <c r="AK26" s="139"/>
      <c r="AL26" s="139"/>
      <c r="AM26" s="139"/>
      <c r="AN26" s="139"/>
      <c r="AO26" s="139"/>
      <c r="AP26" s="139"/>
      <c r="AQ26" s="139"/>
      <c r="AR26" s="139"/>
      <c r="AS26" s="139"/>
      <c r="AT26" s="139"/>
      <c r="AU26" s="82"/>
      <c r="AV26" s="82"/>
      <c r="AW26" s="82"/>
      <c r="AX26" s="82"/>
      <c r="AY26" s="82"/>
      <c r="AZ26" s="82"/>
      <c r="BA26" s="82"/>
      <c r="BB26" s="82"/>
      <c r="BC26" s="82">
        <f t="shared" si="11"/>
        <v>0</v>
      </c>
      <c r="BF26" s="85">
        <f t="shared" si="9"/>
        <v>0</v>
      </c>
      <c r="BJ26" s="85">
        <f t="shared" si="10"/>
        <v>0</v>
      </c>
      <c r="VVU26" s="85"/>
      <c r="VXA26" s="87"/>
      <c r="VXM26" s="85"/>
      <c r="VYS26" s="87"/>
      <c r="VYV26" s="85"/>
    </row>
    <row r="27" ht="20" customHeight="1" spans="1:62">
      <c r="A27" s="52"/>
      <c r="B27" s="128"/>
      <c r="C27" s="128"/>
      <c r="D27" s="128"/>
      <c r="E27" s="128"/>
      <c r="F27" s="52" t="s">
        <v>303</v>
      </c>
      <c r="G27" s="82"/>
      <c r="H27" s="82"/>
      <c r="I27" s="82"/>
      <c r="J27" s="139">
        <v>147</v>
      </c>
      <c r="K27" s="139">
        <f t="shared" si="1"/>
        <v>147</v>
      </c>
      <c r="L27" s="139">
        <v>147</v>
      </c>
      <c r="M27" s="139"/>
      <c r="N27" s="139">
        <f t="shared" si="12"/>
        <v>147</v>
      </c>
      <c r="O27" s="139">
        <f t="shared" si="2"/>
        <v>147</v>
      </c>
      <c r="P27" s="139">
        <f>I27+M27</f>
        <v>0</v>
      </c>
      <c r="Q27" s="139"/>
      <c r="R27" s="139"/>
      <c r="S27" s="139">
        <f t="shared" si="4"/>
        <v>147</v>
      </c>
      <c r="T27" s="139">
        <f t="shared" si="5"/>
        <v>147</v>
      </c>
      <c r="U27" s="139">
        <v>147</v>
      </c>
      <c r="V27" s="139"/>
      <c r="W27" s="139"/>
      <c r="X27" s="139"/>
      <c r="Y27" s="139"/>
      <c r="Z27" s="139"/>
      <c r="AA27" s="139"/>
      <c r="AB27" s="139"/>
      <c r="AC27" s="139"/>
      <c r="AD27" s="139"/>
      <c r="AE27" s="139"/>
      <c r="AF27" s="139"/>
      <c r="AG27" s="139"/>
      <c r="AH27" s="139"/>
      <c r="AI27" s="139"/>
      <c r="AJ27" s="139">
        <f t="shared" si="6"/>
        <v>0</v>
      </c>
      <c r="AK27" s="139"/>
      <c r="AL27" s="139"/>
      <c r="AM27" s="139"/>
      <c r="AN27" s="139"/>
      <c r="AO27" s="139"/>
      <c r="AP27" s="139"/>
      <c r="AQ27" s="139"/>
      <c r="AR27" s="139"/>
      <c r="AS27" s="139"/>
      <c r="AT27" s="139"/>
      <c r="AU27" s="82"/>
      <c r="AV27" s="82"/>
      <c r="AW27" s="82"/>
      <c r="AX27" s="82"/>
      <c r="AY27" s="82"/>
      <c r="AZ27" s="82"/>
      <c r="BA27" s="82"/>
      <c r="BB27" s="82"/>
      <c r="BC27" s="82">
        <f t="shared" si="11"/>
        <v>0</v>
      </c>
      <c r="BF27" s="85">
        <f t="shared" si="9"/>
        <v>0</v>
      </c>
      <c r="BJ27" s="85">
        <f t="shared" si="10"/>
        <v>0</v>
      </c>
    </row>
    <row r="28" ht="20" customHeight="1" spans="1:62">
      <c r="A28" s="129" t="s">
        <v>206</v>
      </c>
      <c r="B28" s="39">
        <f>B5+B8+B12+B13+B19</f>
        <v>452893</v>
      </c>
      <c r="C28" s="39">
        <f>C5+C8+C12+C13+C19</f>
        <v>282901</v>
      </c>
      <c r="D28" s="39">
        <f>D5+D8+D12+D13+D19</f>
        <v>34623</v>
      </c>
      <c r="E28" s="39">
        <f>E5+E8+E12+E13+E19</f>
        <v>487516</v>
      </c>
      <c r="F28" s="130" t="s">
        <v>207</v>
      </c>
      <c r="G28" s="82">
        <f t="shared" ref="G28:N28" si="13">SUM(G5:G27)</f>
        <v>434110</v>
      </c>
      <c r="H28" s="82">
        <f t="shared" si="13"/>
        <v>259238</v>
      </c>
      <c r="I28" s="82">
        <f t="shared" si="13"/>
        <v>174872</v>
      </c>
      <c r="J28" s="82">
        <f t="shared" si="13"/>
        <v>420372</v>
      </c>
      <c r="K28" s="82">
        <f t="shared" si="13"/>
        <v>34048</v>
      </c>
      <c r="L28" s="82">
        <f t="shared" si="13"/>
        <v>147</v>
      </c>
      <c r="M28" s="82">
        <f t="shared" si="13"/>
        <v>18181</v>
      </c>
      <c r="N28" s="82">
        <f t="shared" si="13"/>
        <v>468158</v>
      </c>
      <c r="O28" s="139">
        <f t="shared" si="2"/>
        <v>275613</v>
      </c>
      <c r="P28" s="82">
        <f>SUM(P5:P27)</f>
        <v>192545</v>
      </c>
      <c r="Q28" s="82"/>
      <c r="R28" s="82">
        <f>SUM(R5:R27)</f>
        <v>81489</v>
      </c>
      <c r="S28" s="82">
        <f>SUM(S5:S27)</f>
        <v>194124</v>
      </c>
      <c r="T28" s="82">
        <f>SUM(T5:T27)</f>
        <v>40800</v>
      </c>
      <c r="U28" s="82">
        <f>SUM(U5:U27)</f>
        <v>9382</v>
      </c>
      <c r="V28" s="82">
        <f>SUM(V5:V27)</f>
        <v>1300</v>
      </c>
      <c r="W28" s="82">
        <f t="shared" ref="W28:AJ28" si="14">SUM(W5:W27)</f>
        <v>4800</v>
      </c>
      <c r="X28" s="82">
        <f t="shared" si="14"/>
        <v>800</v>
      </c>
      <c r="Y28" s="82">
        <f t="shared" si="14"/>
        <v>2030</v>
      </c>
      <c r="Z28" s="82">
        <f t="shared" si="14"/>
        <v>500</v>
      </c>
      <c r="AA28" s="82">
        <f t="shared" si="14"/>
        <v>450</v>
      </c>
      <c r="AB28" s="82">
        <f t="shared" si="14"/>
        <v>1650</v>
      </c>
      <c r="AC28" s="82">
        <f t="shared" si="14"/>
        <v>1100</v>
      </c>
      <c r="AD28" s="82">
        <f t="shared" si="14"/>
        <v>300</v>
      </c>
      <c r="AE28" s="82">
        <f t="shared" si="14"/>
        <v>400</v>
      </c>
      <c r="AF28" s="82">
        <f t="shared" si="14"/>
        <v>2000</v>
      </c>
      <c r="AG28" s="82">
        <f t="shared" si="14"/>
        <v>1100</v>
      </c>
      <c r="AH28" s="82">
        <f t="shared" si="14"/>
        <v>1300</v>
      </c>
      <c r="AI28" s="82">
        <f t="shared" si="14"/>
        <v>13688</v>
      </c>
      <c r="AJ28" s="82">
        <f t="shared" ref="AJ28:BC28" si="15">SUM(AJ5:AJ27)</f>
        <v>153324</v>
      </c>
      <c r="AK28" s="82">
        <f t="shared" si="15"/>
        <v>131530</v>
      </c>
      <c r="AL28" s="82">
        <f t="shared" si="15"/>
        <v>656</v>
      </c>
      <c r="AM28" s="82">
        <f t="shared" si="15"/>
        <v>7415</v>
      </c>
      <c r="AN28" s="82">
        <f t="shared" si="15"/>
        <v>7417</v>
      </c>
      <c r="AO28" s="82">
        <f t="shared" si="15"/>
        <v>1238</v>
      </c>
      <c r="AP28" s="82">
        <f t="shared" si="15"/>
        <v>480</v>
      </c>
      <c r="AQ28" s="82">
        <f t="shared" si="15"/>
        <v>1750</v>
      </c>
      <c r="AR28" s="82">
        <f t="shared" si="15"/>
        <v>300</v>
      </c>
      <c r="AS28" s="82">
        <f t="shared" si="15"/>
        <v>2538</v>
      </c>
      <c r="AT28" s="82">
        <f t="shared" si="15"/>
        <v>0</v>
      </c>
      <c r="AU28" s="82">
        <f t="shared" si="15"/>
        <v>195438</v>
      </c>
      <c r="AV28" s="82">
        <f t="shared" si="15"/>
        <v>196440</v>
      </c>
      <c r="AW28" s="82">
        <f t="shared" si="15"/>
        <v>4466</v>
      </c>
      <c r="AX28" s="82">
        <f t="shared" si="15"/>
        <v>40459</v>
      </c>
      <c r="AY28" s="82">
        <f t="shared" si="15"/>
        <v>-40459</v>
      </c>
      <c r="AZ28" s="82">
        <f t="shared" si="15"/>
        <v>36242</v>
      </c>
      <c r="BA28" s="82">
        <f t="shared" si="15"/>
        <v>4788</v>
      </c>
      <c r="BB28" s="82">
        <f t="shared" si="15"/>
        <v>192545</v>
      </c>
      <c r="BC28" s="82">
        <f t="shared" si="15"/>
        <v>191543</v>
      </c>
      <c r="BE28" s="85">
        <f>SUM(BE5:BE27)</f>
        <v>78532</v>
      </c>
      <c r="BF28" s="85">
        <f>SUM(BF5:BF27)</f>
        <v>2957</v>
      </c>
      <c r="BG28" s="85">
        <f>SUM(BG5:BG27)</f>
        <v>81489</v>
      </c>
      <c r="BJ28" s="85">
        <f t="shared" si="10"/>
        <v>271077</v>
      </c>
    </row>
    <row r="29" ht="20" customHeight="1" spans="1:46">
      <c r="A29" s="129"/>
      <c r="B29" s="67"/>
      <c r="C29" s="67"/>
      <c r="D29" s="67"/>
      <c r="E29" s="67"/>
      <c r="F29" s="131" t="s">
        <v>208</v>
      </c>
      <c r="G29" s="82">
        <f>G30</f>
        <v>3253</v>
      </c>
      <c r="H29" s="82"/>
      <c r="I29" s="82"/>
      <c r="J29" s="139"/>
      <c r="K29" s="139">
        <f>K30</f>
        <v>575</v>
      </c>
      <c r="L29" s="139"/>
      <c r="M29" s="139"/>
      <c r="N29" s="139">
        <f>N30</f>
        <v>3828</v>
      </c>
      <c r="O29" s="139"/>
      <c r="P29" s="139"/>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row>
    <row r="30" ht="20" customHeight="1" spans="1:48">
      <c r="A30" s="127"/>
      <c r="B30" s="67"/>
      <c r="C30" s="67"/>
      <c r="D30" s="67"/>
      <c r="E30" s="67"/>
      <c r="F30" s="132" t="s">
        <v>304</v>
      </c>
      <c r="G30" s="82">
        <v>3253</v>
      </c>
      <c r="H30" s="82"/>
      <c r="I30" s="82"/>
      <c r="J30" s="139"/>
      <c r="K30" s="139">
        <v>575</v>
      </c>
      <c r="L30" s="139"/>
      <c r="M30" s="139"/>
      <c r="N30" s="139">
        <v>3828</v>
      </c>
      <c r="O30" s="139"/>
      <c r="P30" s="139"/>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V30" s="117">
        <v>196440</v>
      </c>
    </row>
    <row r="31" ht="20" customHeight="1" spans="1:46">
      <c r="A31" s="52"/>
      <c r="B31" s="67"/>
      <c r="C31" s="67"/>
      <c r="D31" s="67"/>
      <c r="E31" s="67"/>
      <c r="F31" s="131" t="s">
        <v>209</v>
      </c>
      <c r="G31" s="82">
        <v>15530</v>
      </c>
      <c r="H31" s="82"/>
      <c r="I31" s="82"/>
      <c r="J31" s="139"/>
      <c r="K31" s="139"/>
      <c r="L31" s="139"/>
      <c r="M31" s="139"/>
      <c r="N31" s="139">
        <v>15530</v>
      </c>
      <c r="O31" s="139"/>
      <c r="P31" s="139"/>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row>
    <row r="32" ht="20" customHeight="1" spans="1:48">
      <c r="A32" s="52"/>
      <c r="B32" s="67"/>
      <c r="C32" s="67"/>
      <c r="D32" s="67"/>
      <c r="E32" s="67"/>
      <c r="F32" s="131" t="s">
        <v>305</v>
      </c>
      <c r="G32" s="82"/>
      <c r="H32" s="82"/>
      <c r="I32" s="82"/>
      <c r="J32" s="139"/>
      <c r="K32" s="139"/>
      <c r="L32" s="139"/>
      <c r="M32" s="139"/>
      <c r="N32" s="139"/>
      <c r="O32" s="139"/>
      <c r="P32" s="139"/>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V32" s="117">
        <f>AV28-AV30</f>
        <v>0</v>
      </c>
    </row>
    <row r="33" ht="20" customHeight="1" spans="1:46">
      <c r="A33" s="77" t="s">
        <v>211</v>
      </c>
      <c r="B33" s="39">
        <f>B28</f>
        <v>452893</v>
      </c>
      <c r="C33" s="39">
        <f>C28</f>
        <v>282901</v>
      </c>
      <c r="D33" s="39">
        <f>D28</f>
        <v>34623</v>
      </c>
      <c r="E33" s="39">
        <f>E28</f>
        <v>487516</v>
      </c>
      <c r="F33" s="133" t="s">
        <v>212</v>
      </c>
      <c r="G33" s="82">
        <f>G28+G29+G31</f>
        <v>452893</v>
      </c>
      <c r="H33" s="82"/>
      <c r="I33" s="82"/>
      <c r="J33" s="139"/>
      <c r="K33" s="139">
        <f>K28+K29</f>
        <v>34623</v>
      </c>
      <c r="L33" s="139"/>
      <c r="M33" s="139"/>
      <c r="N33" s="139">
        <f>N28+N29+N31</f>
        <v>487516</v>
      </c>
      <c r="O33" s="139"/>
      <c r="P33" s="139"/>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row>
    <row r="34" ht="20" customHeight="1" spans="1:46">
      <c r="A34" s="52"/>
      <c r="B34" s="67"/>
      <c r="C34" s="67"/>
      <c r="D34" s="67"/>
      <c r="E34" s="67"/>
      <c r="F34" s="130" t="s">
        <v>213</v>
      </c>
      <c r="G34" s="82">
        <f>G35-G28-G29-G31</f>
        <v>0</v>
      </c>
      <c r="H34" s="82"/>
      <c r="I34" s="82"/>
      <c r="J34" s="139"/>
      <c r="K34" s="139"/>
      <c r="L34" s="139"/>
      <c r="M34" s="139"/>
      <c r="N34" s="139">
        <f>N35-N33</f>
        <v>0</v>
      </c>
      <c r="O34" s="139"/>
      <c r="P34" s="139"/>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row>
    <row r="35" ht="20" customHeight="1" spans="1:46">
      <c r="A35" s="134" t="s">
        <v>214</v>
      </c>
      <c r="B35" s="108">
        <f>B33</f>
        <v>452893</v>
      </c>
      <c r="C35" s="108">
        <f>C33</f>
        <v>282901</v>
      </c>
      <c r="D35" s="108">
        <f>D33</f>
        <v>34623</v>
      </c>
      <c r="E35" s="108">
        <f>E33</f>
        <v>487516</v>
      </c>
      <c r="F35" s="130" t="s">
        <v>215</v>
      </c>
      <c r="G35" s="82">
        <f>B35</f>
        <v>452893</v>
      </c>
      <c r="H35" s="82"/>
      <c r="I35" s="82"/>
      <c r="J35" s="139"/>
      <c r="K35" s="139">
        <f>K28+K29+K31</f>
        <v>34623</v>
      </c>
      <c r="L35" s="139"/>
      <c r="M35" s="139"/>
      <c r="N35" s="139">
        <f>E35</f>
        <v>487516</v>
      </c>
      <c r="O35" s="139"/>
      <c r="P35" s="139"/>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row>
  </sheetData>
  <mergeCells count="19">
    <mergeCell ref="A1:P1"/>
    <mergeCell ref="N2:P2"/>
    <mergeCell ref="H3:I3"/>
    <mergeCell ref="L3:M3"/>
    <mergeCell ref="O3:P3"/>
    <mergeCell ref="Q3:S3"/>
    <mergeCell ref="T3:AI3"/>
    <mergeCell ref="AJ3:AT3"/>
    <mergeCell ref="AU3:BC3"/>
    <mergeCell ref="A3:A4"/>
    <mergeCell ref="B3:B4"/>
    <mergeCell ref="C3:C4"/>
    <mergeCell ref="D3:D4"/>
    <mergeCell ref="E3:E4"/>
    <mergeCell ref="F3:F4"/>
    <mergeCell ref="G3:G4"/>
    <mergeCell ref="J3:J4"/>
    <mergeCell ref="K3:K4"/>
    <mergeCell ref="N3:N4"/>
  </mergeCells>
  <printOptions horizontalCentered="1"/>
  <pageMargins left="0.236111111111111" right="0.196527777777778" top="0.511805555555556" bottom="0.393055555555556" header="0.279166666666667" footer="0.200694444444444"/>
  <pageSetup paperSize="9" scale="80" orientation="landscape" horizontalDpi="300" verticalDpi="3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86"/>
  <sheetViews>
    <sheetView showZeros="0" topLeftCell="A23" workbookViewId="0">
      <selection activeCell="F31" sqref="F31"/>
    </sheetView>
  </sheetViews>
  <sheetFormatPr defaultColWidth="9" defaultRowHeight="14.25"/>
  <cols>
    <col min="1" max="1" width="47.875" style="85" customWidth="1"/>
    <col min="2" max="5" width="9" style="85"/>
    <col min="6" max="6" width="79.375" style="104" customWidth="1"/>
    <col min="7" max="7" width="9" style="85" hidden="1" customWidth="1"/>
    <col min="8" max="8" width="12.75" style="85" hidden="1" customWidth="1"/>
    <col min="9" max="12" width="9" style="85" hidden="1" customWidth="1"/>
    <col min="13" max="13" width="9" style="85" customWidth="1"/>
    <col min="14" max="14" width="36.25" style="85" customWidth="1"/>
    <col min="15" max="16378" width="9" style="85"/>
    <col min="16379" max="16384" width="9" style="103"/>
  </cols>
  <sheetData>
    <row r="1" ht="35" customHeight="1" spans="1:6">
      <c r="A1" s="105" t="s">
        <v>306</v>
      </c>
      <c r="F1" s="105"/>
    </row>
    <row r="2" ht="25" customHeight="1" spans="1:6">
      <c r="A2" s="106" t="s">
        <v>307</v>
      </c>
      <c r="F2" s="107" t="s">
        <v>308</v>
      </c>
    </row>
    <row r="3" ht="45" customHeight="1" spans="1:6">
      <c r="A3" s="77" t="s">
        <v>309</v>
      </c>
      <c r="B3" s="39" t="s">
        <v>310</v>
      </c>
      <c r="C3" s="108" t="s">
        <v>311</v>
      </c>
      <c r="D3" s="108" t="s">
        <v>312</v>
      </c>
      <c r="E3" s="108" t="s">
        <v>227</v>
      </c>
      <c r="F3" s="82" t="s">
        <v>313</v>
      </c>
    </row>
    <row r="4" ht="20" customHeight="1" spans="1:6">
      <c r="A4" s="77" t="s">
        <v>314</v>
      </c>
      <c r="B4" s="39">
        <f>B5+B13+B20+B23+B24+B25+B26+B27+B28+B33+B31+B32+B34+B35+B36+B37</f>
        <v>27143</v>
      </c>
      <c r="C4" s="39">
        <f>C5+C13+C20+C23+C24+C25+C26+C27+C28+C33+C31+C32+C34+C35+C36+C37+C38</f>
        <v>31674.61363</v>
      </c>
      <c r="D4" s="39">
        <f>D5+D13+D20+D23+D24+D25+D26+D27+D28+D33+D31+D32+D34+D35+D36+D37+D38</f>
        <v>13657</v>
      </c>
      <c r="E4" s="39">
        <f>E5+E13+E20+E23+E24+E25+E26+E27+E28+E33+E31+E32+E34+E35+E36+E37+E38</f>
        <v>40800</v>
      </c>
      <c r="F4" s="109"/>
    </row>
    <row r="5" ht="20" customHeight="1" spans="1:6">
      <c r="A5" s="110" t="s">
        <v>315</v>
      </c>
      <c r="B5" s="39">
        <f>SUM(B6:B12)</f>
        <v>10900</v>
      </c>
      <c r="C5" s="39">
        <f>SUM(C6:C12)</f>
        <v>9913.61363</v>
      </c>
      <c r="D5" s="39">
        <f>SUM(D6:D12)</f>
        <v>1888</v>
      </c>
      <c r="E5" s="39">
        <f>SUM(E6:E12)</f>
        <v>12788</v>
      </c>
      <c r="F5" s="49"/>
    </row>
    <row r="6" ht="20" customHeight="1" spans="1:9">
      <c r="A6" s="111" t="s">
        <v>316</v>
      </c>
      <c r="B6" s="39">
        <v>600</v>
      </c>
      <c r="C6" s="39">
        <v>600</v>
      </c>
      <c r="D6" s="39">
        <v>100</v>
      </c>
      <c r="E6" s="39">
        <f>B6+D6</f>
        <v>700</v>
      </c>
      <c r="F6" s="100"/>
      <c r="H6" s="85">
        <v>20103</v>
      </c>
      <c r="I6" s="85">
        <v>600</v>
      </c>
    </row>
    <row r="7" ht="20" customHeight="1" spans="1:9">
      <c r="A7" s="111" t="s">
        <v>317</v>
      </c>
      <c r="B7" s="39">
        <v>700</v>
      </c>
      <c r="C7" s="39">
        <v>786</v>
      </c>
      <c r="D7" s="39">
        <v>100</v>
      </c>
      <c r="E7" s="39">
        <f>B7+D7</f>
        <v>800</v>
      </c>
      <c r="F7" s="100"/>
      <c r="H7" s="85">
        <v>20808</v>
      </c>
      <c r="I7" s="85">
        <v>700</v>
      </c>
    </row>
    <row r="8" ht="20" customHeight="1" spans="1:9">
      <c r="A8" s="49" t="s">
        <v>318</v>
      </c>
      <c r="B8" s="39">
        <v>50</v>
      </c>
      <c r="C8" s="39">
        <v>50</v>
      </c>
      <c r="D8" s="39"/>
      <c r="E8" s="39">
        <f>B8+D8</f>
        <v>50</v>
      </c>
      <c r="F8" s="100"/>
      <c r="H8" s="85">
        <v>20103</v>
      </c>
      <c r="I8" s="85">
        <v>50</v>
      </c>
    </row>
    <row r="9" ht="20" customHeight="1" spans="1:9">
      <c r="A9" s="49" t="s">
        <v>319</v>
      </c>
      <c r="B9" s="39">
        <v>50</v>
      </c>
      <c r="C9" s="39">
        <f>'[1]2020年总预算明细'!$G$28</f>
        <v>27.61363</v>
      </c>
      <c r="D9" s="39"/>
      <c r="E9" s="39">
        <f>B9+D9</f>
        <v>50</v>
      </c>
      <c r="F9" s="68"/>
      <c r="H9" s="85">
        <v>20131</v>
      </c>
      <c r="I9" s="85">
        <v>50</v>
      </c>
    </row>
    <row r="10" ht="20" customHeight="1" spans="1:9">
      <c r="A10" s="49" t="s">
        <v>320</v>
      </c>
      <c r="B10" s="39">
        <v>8900</v>
      </c>
      <c r="C10" s="39">
        <v>7900</v>
      </c>
      <c r="D10" s="39">
        <v>300</v>
      </c>
      <c r="E10" s="39">
        <f>B10+D10</f>
        <v>9200</v>
      </c>
      <c r="F10" s="68"/>
      <c r="H10" s="85">
        <v>20805</v>
      </c>
      <c r="I10" s="85">
        <v>8500</v>
      </c>
    </row>
    <row r="11" ht="20" customHeight="1" spans="1:6">
      <c r="A11" s="49" t="s">
        <v>321</v>
      </c>
      <c r="B11" s="39">
        <v>600</v>
      </c>
      <c r="C11" s="39">
        <v>550</v>
      </c>
      <c r="D11" s="39">
        <v>-12</v>
      </c>
      <c r="E11" s="39">
        <v>588</v>
      </c>
      <c r="F11" s="68"/>
    </row>
    <row r="12" ht="20" customHeight="1" spans="1:6">
      <c r="A12" s="49" t="s">
        <v>322</v>
      </c>
      <c r="B12" s="39"/>
      <c r="C12" s="39"/>
      <c r="D12" s="39">
        <v>1400</v>
      </c>
      <c r="E12" s="39">
        <f>B12+D12</f>
        <v>1400</v>
      </c>
      <c r="F12" s="68"/>
    </row>
    <row r="13" ht="20" customHeight="1" spans="1:6">
      <c r="A13" s="54" t="s">
        <v>86</v>
      </c>
      <c r="B13" s="39">
        <f>SUM(B14:B19)</f>
        <v>1300</v>
      </c>
      <c r="C13" s="39">
        <f>SUM(C14:C19)</f>
        <v>1299</v>
      </c>
      <c r="D13" s="39">
        <f>SUM(D14:D19)</f>
        <v>0</v>
      </c>
      <c r="E13" s="39">
        <f t="shared" ref="E12:E37" si="0">B13+D13</f>
        <v>1300</v>
      </c>
      <c r="F13" s="100"/>
    </row>
    <row r="14" ht="20" customHeight="1" spans="1:9">
      <c r="A14" s="52" t="s">
        <v>323</v>
      </c>
      <c r="B14" s="39">
        <v>300</v>
      </c>
      <c r="C14" s="39">
        <f>315-15</f>
        <v>300</v>
      </c>
      <c r="D14" s="39"/>
      <c r="E14" s="39">
        <f t="shared" si="0"/>
        <v>300</v>
      </c>
      <c r="F14" s="100"/>
      <c r="H14" s="85">
        <v>20103</v>
      </c>
      <c r="I14" s="85">
        <v>300</v>
      </c>
    </row>
    <row r="15" ht="20" customHeight="1" spans="1:9">
      <c r="A15" s="52" t="s">
        <v>324</v>
      </c>
      <c r="B15" s="39">
        <v>100</v>
      </c>
      <c r="C15" s="39">
        <v>99</v>
      </c>
      <c r="D15" s="39"/>
      <c r="E15" s="39">
        <f t="shared" si="0"/>
        <v>100</v>
      </c>
      <c r="F15" s="100"/>
      <c r="H15" s="85">
        <v>20103</v>
      </c>
      <c r="I15" s="85">
        <v>100</v>
      </c>
    </row>
    <row r="16" ht="20" customHeight="1" spans="1:9">
      <c r="A16" s="52" t="s">
        <v>325</v>
      </c>
      <c r="B16" s="39">
        <v>550</v>
      </c>
      <c r="C16" s="39">
        <v>550</v>
      </c>
      <c r="D16" s="39"/>
      <c r="E16" s="39">
        <f t="shared" si="0"/>
        <v>550</v>
      </c>
      <c r="F16" s="100"/>
      <c r="H16" s="85">
        <v>20103</v>
      </c>
      <c r="I16" s="85">
        <v>550</v>
      </c>
    </row>
    <row r="17" ht="20" customHeight="1" spans="1:9">
      <c r="A17" s="52" t="s">
        <v>326</v>
      </c>
      <c r="B17" s="39">
        <v>200</v>
      </c>
      <c r="C17" s="39">
        <v>200</v>
      </c>
      <c r="D17" s="39"/>
      <c r="E17" s="39">
        <f t="shared" si="0"/>
        <v>200</v>
      </c>
      <c r="F17" s="100"/>
      <c r="H17" s="85">
        <v>20131</v>
      </c>
      <c r="I17" s="85">
        <v>200</v>
      </c>
    </row>
    <row r="18" ht="20" customHeight="1" spans="1:9">
      <c r="A18" s="52" t="s">
        <v>327</v>
      </c>
      <c r="B18" s="39">
        <v>150</v>
      </c>
      <c r="C18" s="39">
        <v>150</v>
      </c>
      <c r="D18" s="39"/>
      <c r="E18" s="39">
        <f t="shared" si="0"/>
        <v>150</v>
      </c>
      <c r="F18" s="100"/>
      <c r="H18" s="85">
        <v>20133</v>
      </c>
      <c r="I18" s="85">
        <v>150</v>
      </c>
    </row>
    <row r="19" s="103" customFormat="1" ht="20" hidden="1" customHeight="1" spans="1:16378">
      <c r="A19" s="52" t="s">
        <v>328</v>
      </c>
      <c r="B19" s="39"/>
      <c r="C19" s="39">
        <f>'[1]2020年总预算明细'!$G$158</f>
        <v>0</v>
      </c>
      <c r="D19" s="39"/>
      <c r="E19" s="39">
        <f t="shared" si="0"/>
        <v>0</v>
      </c>
      <c r="F19" s="100"/>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5"/>
      <c r="NC19" s="85"/>
      <c r="ND19" s="85"/>
      <c r="NE19" s="85"/>
      <c r="NF19" s="85"/>
      <c r="NG19" s="85"/>
      <c r="NH19" s="85"/>
      <c r="NI19" s="85"/>
      <c r="NJ19" s="85"/>
      <c r="NK19" s="85"/>
      <c r="NL19" s="85"/>
      <c r="NM19" s="85"/>
      <c r="NN19" s="85"/>
      <c r="NO19" s="85"/>
      <c r="NP19" s="85"/>
      <c r="NQ19" s="85"/>
      <c r="NR19" s="85"/>
      <c r="NS19" s="85"/>
      <c r="NT19" s="85"/>
      <c r="NU19" s="85"/>
      <c r="NV19" s="85"/>
      <c r="NW19" s="85"/>
      <c r="NX19" s="85"/>
      <c r="NY19" s="85"/>
      <c r="NZ19" s="85"/>
      <c r="OA19" s="85"/>
      <c r="OB19" s="85"/>
      <c r="OC19" s="85"/>
      <c r="OD19" s="85"/>
      <c r="OE19" s="85"/>
      <c r="OF19" s="85"/>
      <c r="OG19" s="85"/>
      <c r="OH19" s="85"/>
      <c r="OI19" s="85"/>
      <c r="OJ19" s="85"/>
      <c r="OK19" s="85"/>
      <c r="OL19" s="85"/>
      <c r="OM19" s="85"/>
      <c r="ON19" s="85"/>
      <c r="OO19" s="85"/>
      <c r="OP19" s="85"/>
      <c r="OQ19" s="85"/>
      <c r="OR19" s="85"/>
      <c r="OS19" s="85"/>
      <c r="OT19" s="85"/>
      <c r="OU19" s="85"/>
      <c r="OV19" s="85"/>
      <c r="OW19" s="85"/>
      <c r="OX19" s="85"/>
      <c r="OY19" s="85"/>
      <c r="OZ19" s="85"/>
      <c r="PA19" s="85"/>
      <c r="PB19" s="85"/>
      <c r="PC19" s="85"/>
      <c r="PD19" s="85"/>
      <c r="PE19" s="85"/>
      <c r="PF19" s="85"/>
      <c r="PG19" s="85"/>
      <c r="PH19" s="85"/>
      <c r="PI19" s="85"/>
      <c r="PJ19" s="85"/>
      <c r="PK19" s="85"/>
      <c r="PL19" s="85"/>
      <c r="PM19" s="85"/>
      <c r="PN19" s="85"/>
      <c r="PO19" s="85"/>
      <c r="PP19" s="85"/>
      <c r="PQ19" s="85"/>
      <c r="PR19" s="85"/>
      <c r="PS19" s="85"/>
      <c r="PT19" s="85"/>
      <c r="PU19" s="85"/>
      <c r="PV19" s="85"/>
      <c r="PW19" s="85"/>
      <c r="PX19" s="85"/>
      <c r="PY19" s="85"/>
      <c r="PZ19" s="85"/>
      <c r="QA19" s="85"/>
      <c r="QB19" s="85"/>
      <c r="QC19" s="85"/>
      <c r="QD19" s="85"/>
      <c r="QE19" s="85"/>
      <c r="QF19" s="85"/>
      <c r="QG19" s="85"/>
      <c r="QH19" s="85"/>
      <c r="QI19" s="85"/>
      <c r="QJ19" s="85"/>
      <c r="QK19" s="85"/>
      <c r="QL19" s="85"/>
      <c r="QM19" s="85"/>
      <c r="QN19" s="85"/>
      <c r="QO19" s="85"/>
      <c r="QP19" s="85"/>
      <c r="QQ19" s="85"/>
      <c r="QR19" s="85"/>
      <c r="QS19" s="85"/>
      <c r="QT19" s="85"/>
      <c r="QU19" s="85"/>
      <c r="QV19" s="85"/>
      <c r="QW19" s="85"/>
      <c r="QX19" s="85"/>
      <c r="QY19" s="85"/>
      <c r="QZ19" s="85"/>
      <c r="RA19" s="85"/>
      <c r="RB19" s="85"/>
      <c r="RC19" s="85"/>
      <c r="RD19" s="85"/>
      <c r="RE19" s="85"/>
      <c r="RF19" s="85"/>
      <c r="RG19" s="85"/>
      <c r="RH19" s="85"/>
      <c r="RI19" s="85"/>
      <c r="RJ19" s="85"/>
      <c r="RK19" s="85"/>
      <c r="RL19" s="85"/>
      <c r="RM19" s="85"/>
      <c r="RN19" s="85"/>
      <c r="RO19" s="85"/>
      <c r="RP19" s="85"/>
      <c r="RQ19" s="85"/>
      <c r="RR19" s="85"/>
      <c r="RS19" s="85"/>
      <c r="RT19" s="85"/>
      <c r="RU19" s="85"/>
      <c r="RV19" s="85"/>
      <c r="RW19" s="85"/>
      <c r="RX19" s="85"/>
      <c r="RY19" s="85"/>
      <c r="RZ19" s="85"/>
      <c r="SA19" s="85"/>
      <c r="SB19" s="85"/>
      <c r="SC19" s="85"/>
      <c r="SD19" s="85"/>
      <c r="SE19" s="85"/>
      <c r="SF19" s="85"/>
      <c r="SG19" s="85"/>
      <c r="SH19" s="85"/>
      <c r="SI19" s="85"/>
      <c r="SJ19" s="85"/>
      <c r="SK19" s="85"/>
      <c r="SL19" s="85"/>
      <c r="SM19" s="85"/>
      <c r="SN19" s="85"/>
      <c r="SO19" s="85"/>
      <c r="SP19" s="85"/>
      <c r="SQ19" s="85"/>
      <c r="SR19" s="85"/>
      <c r="SS19" s="85"/>
      <c r="ST19" s="85"/>
      <c r="SU19" s="85"/>
      <c r="SV19" s="85"/>
      <c r="SW19" s="85"/>
      <c r="SX19" s="85"/>
      <c r="SY19" s="85"/>
      <c r="SZ19" s="85"/>
      <c r="TA19" s="85"/>
      <c r="TB19" s="85"/>
      <c r="TC19" s="85"/>
      <c r="TD19" s="85"/>
      <c r="TE19" s="85"/>
      <c r="TF19" s="85"/>
      <c r="TG19" s="85"/>
      <c r="TH19" s="85"/>
      <c r="TI19" s="85"/>
      <c r="TJ19" s="85"/>
      <c r="TK19" s="85"/>
      <c r="TL19" s="85"/>
      <c r="TM19" s="85"/>
      <c r="TN19" s="85"/>
      <c r="TO19" s="85"/>
      <c r="TP19" s="85"/>
      <c r="TQ19" s="85"/>
      <c r="TR19" s="85"/>
      <c r="TS19" s="85"/>
      <c r="TT19" s="85"/>
      <c r="TU19" s="85"/>
      <c r="TV19" s="85"/>
      <c r="TW19" s="85"/>
      <c r="TX19" s="85"/>
      <c r="TY19" s="85"/>
      <c r="TZ19" s="85"/>
      <c r="UA19" s="85"/>
      <c r="UB19" s="85"/>
      <c r="UC19" s="85"/>
      <c r="UD19" s="85"/>
      <c r="UE19" s="85"/>
      <c r="UF19" s="85"/>
      <c r="UG19" s="85"/>
      <c r="UH19" s="85"/>
      <c r="UI19" s="85"/>
      <c r="UJ19" s="85"/>
      <c r="UK19" s="85"/>
      <c r="UL19" s="85"/>
      <c r="UM19" s="85"/>
      <c r="UN19" s="85"/>
      <c r="UO19" s="85"/>
      <c r="UP19" s="85"/>
      <c r="UQ19" s="85"/>
      <c r="UR19" s="85"/>
      <c r="US19" s="85"/>
      <c r="UT19" s="85"/>
      <c r="UU19" s="85"/>
      <c r="UV19" s="85"/>
      <c r="UW19" s="85"/>
      <c r="UX19" s="85"/>
      <c r="UY19" s="85"/>
      <c r="UZ19" s="85"/>
      <c r="VA19" s="85"/>
      <c r="VB19" s="85"/>
      <c r="VC19" s="85"/>
      <c r="VD19" s="85"/>
      <c r="VE19" s="85"/>
      <c r="VF19" s="85"/>
      <c r="VG19" s="85"/>
      <c r="VH19" s="85"/>
      <c r="VI19" s="85"/>
      <c r="VJ19" s="85"/>
      <c r="VK19" s="85"/>
      <c r="VL19" s="85"/>
      <c r="VM19" s="85"/>
      <c r="VN19" s="85"/>
      <c r="VO19" s="85"/>
      <c r="VP19" s="85"/>
      <c r="VQ19" s="85"/>
      <c r="VR19" s="85"/>
      <c r="VS19" s="85"/>
      <c r="VT19" s="85"/>
      <c r="VU19" s="85"/>
      <c r="VV19" s="85"/>
      <c r="VW19" s="85"/>
      <c r="VX19" s="85"/>
      <c r="VY19" s="85"/>
      <c r="VZ19" s="85"/>
      <c r="WA19" s="85"/>
      <c r="WB19" s="85"/>
      <c r="WC19" s="85"/>
      <c r="WD19" s="85"/>
      <c r="WE19" s="85"/>
      <c r="WF19" s="85"/>
      <c r="WG19" s="85"/>
      <c r="WH19" s="85"/>
      <c r="WI19" s="85"/>
      <c r="WJ19" s="85"/>
      <c r="WK19" s="85"/>
      <c r="WL19" s="85"/>
      <c r="WM19" s="85"/>
      <c r="WN19" s="85"/>
      <c r="WO19" s="85"/>
      <c r="WP19" s="85"/>
      <c r="WQ19" s="85"/>
      <c r="WR19" s="85"/>
      <c r="WS19" s="85"/>
      <c r="WT19" s="85"/>
      <c r="WU19" s="85"/>
      <c r="WV19" s="85"/>
      <c r="WW19" s="85"/>
      <c r="WX19" s="85"/>
      <c r="WY19" s="85"/>
      <c r="WZ19" s="85"/>
      <c r="XA19" s="85"/>
      <c r="XB19" s="85"/>
      <c r="XC19" s="85"/>
      <c r="XD19" s="85"/>
      <c r="XE19" s="85"/>
      <c r="XF19" s="85"/>
      <c r="XG19" s="85"/>
      <c r="XH19" s="85"/>
      <c r="XI19" s="85"/>
      <c r="XJ19" s="85"/>
      <c r="XK19" s="85"/>
      <c r="XL19" s="85"/>
      <c r="XM19" s="85"/>
      <c r="XN19" s="85"/>
      <c r="XO19" s="85"/>
      <c r="XP19" s="85"/>
      <c r="XQ19" s="85"/>
      <c r="XR19" s="85"/>
      <c r="XS19" s="85"/>
      <c r="XT19" s="85"/>
      <c r="XU19" s="85"/>
      <c r="XV19" s="85"/>
      <c r="XW19" s="85"/>
      <c r="XX19" s="85"/>
      <c r="XY19" s="85"/>
      <c r="XZ19" s="85"/>
      <c r="YA19" s="85"/>
      <c r="YB19" s="85"/>
      <c r="YC19" s="85"/>
      <c r="YD19" s="85"/>
      <c r="YE19" s="85"/>
      <c r="YF19" s="85"/>
      <c r="YG19" s="85"/>
      <c r="YH19" s="85"/>
      <c r="YI19" s="85"/>
      <c r="YJ19" s="85"/>
      <c r="YK19" s="85"/>
      <c r="YL19" s="85"/>
      <c r="YM19" s="85"/>
      <c r="YN19" s="85"/>
      <c r="YO19" s="85"/>
      <c r="YP19" s="85"/>
      <c r="YQ19" s="85"/>
      <c r="YR19" s="85"/>
      <c r="YS19" s="85"/>
      <c r="YT19" s="85"/>
      <c r="YU19" s="85"/>
      <c r="YV19" s="85"/>
      <c r="YW19" s="85"/>
      <c r="YX19" s="85"/>
      <c r="YY19" s="85"/>
      <c r="YZ19" s="85"/>
      <c r="ZA19" s="85"/>
      <c r="ZB19" s="85"/>
      <c r="ZC19" s="85"/>
      <c r="ZD19" s="85"/>
      <c r="ZE19" s="85"/>
      <c r="ZF19" s="85"/>
      <c r="ZG19" s="85"/>
      <c r="ZH19" s="85"/>
      <c r="ZI19" s="85"/>
      <c r="ZJ19" s="85"/>
      <c r="ZK19" s="85"/>
      <c r="ZL19" s="85"/>
      <c r="ZM19" s="85"/>
      <c r="ZN19" s="85"/>
      <c r="ZO19" s="85"/>
      <c r="ZP19" s="85"/>
      <c r="ZQ19" s="85"/>
      <c r="ZR19" s="85"/>
      <c r="ZS19" s="85"/>
      <c r="ZT19" s="85"/>
      <c r="ZU19" s="85"/>
      <c r="ZV19" s="85"/>
      <c r="ZW19" s="85"/>
      <c r="ZX19" s="85"/>
      <c r="ZY19" s="85"/>
      <c r="ZZ19" s="85"/>
      <c r="AAA19" s="85"/>
      <c r="AAB19" s="85"/>
      <c r="AAC19" s="85"/>
      <c r="AAD19" s="85"/>
      <c r="AAE19" s="85"/>
      <c r="AAF19" s="85"/>
      <c r="AAG19" s="85"/>
      <c r="AAH19" s="85"/>
      <c r="AAI19" s="85"/>
      <c r="AAJ19" s="85"/>
      <c r="AAK19" s="85"/>
      <c r="AAL19" s="85"/>
      <c r="AAM19" s="85"/>
      <c r="AAN19" s="85"/>
      <c r="AAO19" s="85"/>
      <c r="AAP19" s="85"/>
      <c r="AAQ19" s="85"/>
      <c r="AAR19" s="85"/>
      <c r="AAS19" s="85"/>
      <c r="AAT19" s="85"/>
      <c r="AAU19" s="85"/>
      <c r="AAV19" s="85"/>
      <c r="AAW19" s="85"/>
      <c r="AAX19" s="85"/>
      <c r="AAY19" s="85"/>
      <c r="AAZ19" s="85"/>
      <c r="ABA19" s="85"/>
      <c r="ABB19" s="85"/>
      <c r="ABC19" s="85"/>
      <c r="ABD19" s="85"/>
      <c r="ABE19" s="85"/>
      <c r="ABF19" s="85"/>
      <c r="ABG19" s="85"/>
      <c r="ABH19" s="85"/>
      <c r="ABI19" s="85"/>
      <c r="ABJ19" s="85"/>
      <c r="ABK19" s="85"/>
      <c r="ABL19" s="85"/>
      <c r="ABM19" s="85"/>
      <c r="ABN19" s="85"/>
      <c r="ABO19" s="85"/>
      <c r="ABP19" s="85"/>
      <c r="ABQ19" s="85"/>
      <c r="ABR19" s="85"/>
      <c r="ABS19" s="85"/>
      <c r="ABT19" s="85"/>
      <c r="ABU19" s="85"/>
      <c r="ABV19" s="85"/>
      <c r="ABW19" s="85"/>
      <c r="ABX19" s="85"/>
      <c r="ABY19" s="85"/>
      <c r="ABZ19" s="85"/>
      <c r="ACA19" s="85"/>
      <c r="ACB19" s="85"/>
      <c r="ACC19" s="85"/>
      <c r="ACD19" s="85"/>
      <c r="ACE19" s="85"/>
      <c r="ACF19" s="85"/>
      <c r="ACG19" s="85"/>
      <c r="ACH19" s="85"/>
      <c r="ACI19" s="85"/>
      <c r="ACJ19" s="85"/>
      <c r="ACK19" s="85"/>
      <c r="ACL19" s="85"/>
      <c r="ACM19" s="85"/>
      <c r="ACN19" s="85"/>
      <c r="ACO19" s="85"/>
      <c r="ACP19" s="85"/>
      <c r="ACQ19" s="85"/>
      <c r="ACR19" s="85"/>
      <c r="ACS19" s="85"/>
      <c r="ACT19" s="85"/>
      <c r="ACU19" s="85"/>
      <c r="ACV19" s="85"/>
      <c r="ACW19" s="85"/>
      <c r="ACX19" s="85"/>
      <c r="ACY19" s="85"/>
      <c r="ACZ19" s="85"/>
      <c r="ADA19" s="85"/>
      <c r="ADB19" s="85"/>
      <c r="ADC19" s="85"/>
      <c r="ADD19" s="85"/>
      <c r="ADE19" s="85"/>
      <c r="ADF19" s="85"/>
      <c r="ADG19" s="85"/>
      <c r="ADH19" s="85"/>
      <c r="ADI19" s="85"/>
      <c r="ADJ19" s="85"/>
      <c r="ADK19" s="85"/>
      <c r="ADL19" s="85"/>
      <c r="ADM19" s="85"/>
      <c r="ADN19" s="85"/>
      <c r="ADO19" s="85"/>
      <c r="ADP19" s="85"/>
      <c r="ADQ19" s="85"/>
      <c r="ADR19" s="85"/>
      <c r="ADS19" s="85"/>
      <c r="ADT19" s="85"/>
      <c r="ADU19" s="85"/>
      <c r="ADV19" s="85"/>
      <c r="ADW19" s="85"/>
      <c r="ADX19" s="85"/>
      <c r="ADY19" s="85"/>
      <c r="ADZ19" s="85"/>
      <c r="AEA19" s="85"/>
      <c r="AEB19" s="85"/>
      <c r="AEC19" s="85"/>
      <c r="AED19" s="85"/>
      <c r="AEE19" s="85"/>
      <c r="AEF19" s="85"/>
      <c r="AEG19" s="85"/>
      <c r="AEH19" s="85"/>
      <c r="AEI19" s="85"/>
      <c r="AEJ19" s="85"/>
      <c r="AEK19" s="85"/>
      <c r="AEL19" s="85"/>
      <c r="AEM19" s="85"/>
      <c r="AEN19" s="85"/>
      <c r="AEO19" s="85"/>
      <c r="AEP19" s="85"/>
      <c r="AEQ19" s="85"/>
      <c r="AER19" s="85"/>
      <c r="AES19" s="85"/>
      <c r="AET19" s="85"/>
      <c r="AEU19" s="85"/>
      <c r="AEV19" s="85"/>
      <c r="AEW19" s="85"/>
      <c r="AEX19" s="85"/>
      <c r="AEY19" s="85"/>
      <c r="AEZ19" s="85"/>
      <c r="AFA19" s="85"/>
      <c r="AFB19" s="85"/>
      <c r="AFC19" s="85"/>
      <c r="AFD19" s="85"/>
      <c r="AFE19" s="85"/>
      <c r="AFF19" s="85"/>
      <c r="AFG19" s="85"/>
      <c r="AFH19" s="85"/>
      <c r="AFI19" s="85"/>
      <c r="AFJ19" s="85"/>
      <c r="AFK19" s="85"/>
      <c r="AFL19" s="85"/>
      <c r="AFM19" s="85"/>
      <c r="AFN19" s="85"/>
      <c r="AFO19" s="85"/>
      <c r="AFP19" s="85"/>
      <c r="AFQ19" s="85"/>
      <c r="AFR19" s="85"/>
      <c r="AFS19" s="85"/>
      <c r="AFT19" s="85"/>
      <c r="AFU19" s="85"/>
      <c r="AFV19" s="85"/>
      <c r="AFW19" s="85"/>
      <c r="AFX19" s="85"/>
      <c r="AFY19" s="85"/>
      <c r="AFZ19" s="85"/>
      <c r="AGA19" s="85"/>
      <c r="AGB19" s="85"/>
      <c r="AGC19" s="85"/>
      <c r="AGD19" s="85"/>
      <c r="AGE19" s="85"/>
      <c r="AGF19" s="85"/>
      <c r="AGG19" s="85"/>
      <c r="AGH19" s="85"/>
      <c r="AGI19" s="85"/>
      <c r="AGJ19" s="85"/>
      <c r="AGK19" s="85"/>
      <c r="AGL19" s="85"/>
      <c r="AGM19" s="85"/>
      <c r="AGN19" s="85"/>
      <c r="AGO19" s="85"/>
      <c r="AGP19" s="85"/>
      <c r="AGQ19" s="85"/>
      <c r="AGR19" s="85"/>
      <c r="AGS19" s="85"/>
      <c r="AGT19" s="85"/>
      <c r="AGU19" s="85"/>
      <c r="AGV19" s="85"/>
      <c r="AGW19" s="85"/>
      <c r="AGX19" s="85"/>
      <c r="AGY19" s="85"/>
      <c r="AGZ19" s="85"/>
      <c r="AHA19" s="85"/>
      <c r="AHB19" s="85"/>
      <c r="AHC19" s="85"/>
      <c r="AHD19" s="85"/>
      <c r="AHE19" s="85"/>
      <c r="AHF19" s="85"/>
      <c r="AHG19" s="85"/>
      <c r="AHH19" s="85"/>
      <c r="AHI19" s="85"/>
      <c r="AHJ19" s="85"/>
      <c r="AHK19" s="85"/>
      <c r="AHL19" s="85"/>
      <c r="AHM19" s="85"/>
      <c r="AHN19" s="85"/>
      <c r="AHO19" s="85"/>
      <c r="AHP19" s="85"/>
      <c r="AHQ19" s="85"/>
      <c r="AHR19" s="85"/>
      <c r="AHS19" s="85"/>
      <c r="AHT19" s="85"/>
      <c r="AHU19" s="85"/>
      <c r="AHV19" s="85"/>
      <c r="AHW19" s="85"/>
      <c r="AHX19" s="85"/>
      <c r="AHY19" s="85"/>
      <c r="AHZ19" s="85"/>
      <c r="AIA19" s="85"/>
      <c r="AIB19" s="85"/>
      <c r="AIC19" s="85"/>
      <c r="AID19" s="85"/>
      <c r="AIE19" s="85"/>
      <c r="AIF19" s="85"/>
      <c r="AIG19" s="85"/>
      <c r="AIH19" s="85"/>
      <c r="AII19" s="85"/>
      <c r="AIJ19" s="85"/>
      <c r="AIK19" s="85"/>
      <c r="AIL19" s="85"/>
      <c r="AIM19" s="85"/>
      <c r="AIN19" s="85"/>
      <c r="AIO19" s="85"/>
      <c r="AIP19" s="85"/>
      <c r="AIQ19" s="85"/>
      <c r="AIR19" s="85"/>
      <c r="AIS19" s="85"/>
      <c r="AIT19" s="85"/>
      <c r="AIU19" s="85"/>
      <c r="AIV19" s="85"/>
      <c r="AIW19" s="85"/>
      <c r="AIX19" s="85"/>
      <c r="AIY19" s="85"/>
      <c r="AIZ19" s="85"/>
      <c r="AJA19" s="85"/>
      <c r="AJB19" s="85"/>
      <c r="AJC19" s="85"/>
      <c r="AJD19" s="85"/>
      <c r="AJE19" s="85"/>
      <c r="AJF19" s="85"/>
      <c r="AJG19" s="85"/>
      <c r="AJH19" s="85"/>
      <c r="AJI19" s="85"/>
      <c r="AJJ19" s="85"/>
      <c r="AJK19" s="85"/>
      <c r="AJL19" s="85"/>
      <c r="AJM19" s="85"/>
      <c r="AJN19" s="85"/>
      <c r="AJO19" s="85"/>
      <c r="AJP19" s="85"/>
      <c r="AJQ19" s="85"/>
      <c r="AJR19" s="85"/>
      <c r="AJS19" s="85"/>
      <c r="AJT19" s="85"/>
      <c r="AJU19" s="85"/>
      <c r="AJV19" s="85"/>
      <c r="AJW19" s="85"/>
      <c r="AJX19" s="85"/>
      <c r="AJY19" s="85"/>
      <c r="AJZ19" s="85"/>
      <c r="AKA19" s="85"/>
      <c r="AKB19" s="85"/>
      <c r="AKC19" s="85"/>
      <c r="AKD19" s="85"/>
      <c r="AKE19" s="85"/>
      <c r="AKF19" s="85"/>
      <c r="AKG19" s="85"/>
      <c r="AKH19" s="85"/>
      <c r="AKI19" s="85"/>
      <c r="AKJ19" s="85"/>
      <c r="AKK19" s="85"/>
      <c r="AKL19" s="85"/>
      <c r="AKM19" s="85"/>
      <c r="AKN19" s="85"/>
      <c r="AKO19" s="85"/>
      <c r="AKP19" s="85"/>
      <c r="AKQ19" s="85"/>
      <c r="AKR19" s="85"/>
      <c r="AKS19" s="85"/>
      <c r="AKT19" s="85"/>
      <c r="AKU19" s="85"/>
      <c r="AKV19" s="85"/>
      <c r="AKW19" s="85"/>
      <c r="AKX19" s="85"/>
      <c r="AKY19" s="85"/>
      <c r="AKZ19" s="85"/>
      <c r="ALA19" s="85"/>
      <c r="ALB19" s="85"/>
      <c r="ALC19" s="85"/>
      <c r="ALD19" s="85"/>
      <c r="ALE19" s="85"/>
      <c r="ALF19" s="85"/>
      <c r="ALG19" s="85"/>
      <c r="ALH19" s="85"/>
      <c r="ALI19" s="85"/>
      <c r="ALJ19" s="85"/>
      <c r="ALK19" s="85"/>
      <c r="ALL19" s="85"/>
      <c r="ALM19" s="85"/>
      <c r="ALN19" s="85"/>
      <c r="ALO19" s="85"/>
      <c r="ALP19" s="85"/>
      <c r="ALQ19" s="85"/>
      <c r="ALR19" s="85"/>
      <c r="ALS19" s="85"/>
      <c r="ALT19" s="85"/>
      <c r="ALU19" s="85"/>
      <c r="ALV19" s="85"/>
      <c r="ALW19" s="85"/>
      <c r="ALX19" s="85"/>
      <c r="ALY19" s="85"/>
      <c r="ALZ19" s="85"/>
      <c r="AMA19" s="85"/>
      <c r="AMB19" s="85"/>
      <c r="AMC19" s="85"/>
      <c r="AMD19" s="85"/>
      <c r="AME19" s="85"/>
      <c r="AMF19" s="85"/>
      <c r="AMG19" s="85"/>
      <c r="AMH19" s="85"/>
      <c r="AMI19" s="85"/>
      <c r="AMJ19" s="85"/>
      <c r="AMK19" s="85"/>
      <c r="AML19" s="85"/>
      <c r="AMM19" s="85"/>
      <c r="AMN19" s="85"/>
      <c r="AMO19" s="85"/>
      <c r="AMP19" s="85"/>
      <c r="AMQ19" s="85"/>
      <c r="AMR19" s="85"/>
      <c r="AMS19" s="85"/>
      <c r="AMT19" s="85"/>
      <c r="AMU19" s="85"/>
      <c r="AMV19" s="85"/>
      <c r="AMW19" s="85"/>
      <c r="AMX19" s="85"/>
      <c r="AMY19" s="85"/>
      <c r="AMZ19" s="85"/>
      <c r="ANA19" s="85"/>
      <c r="ANB19" s="85"/>
      <c r="ANC19" s="85"/>
      <c r="AND19" s="85"/>
      <c r="ANE19" s="85"/>
      <c r="ANF19" s="85"/>
      <c r="ANG19" s="85"/>
      <c r="ANH19" s="85"/>
      <c r="ANI19" s="85"/>
      <c r="ANJ19" s="85"/>
      <c r="ANK19" s="85"/>
      <c r="ANL19" s="85"/>
      <c r="ANM19" s="85"/>
      <c r="ANN19" s="85"/>
      <c r="ANO19" s="85"/>
      <c r="ANP19" s="85"/>
      <c r="ANQ19" s="85"/>
      <c r="ANR19" s="85"/>
      <c r="ANS19" s="85"/>
      <c r="ANT19" s="85"/>
      <c r="ANU19" s="85"/>
      <c r="ANV19" s="85"/>
      <c r="ANW19" s="85"/>
      <c r="ANX19" s="85"/>
      <c r="ANY19" s="85"/>
      <c r="ANZ19" s="85"/>
      <c r="AOA19" s="85"/>
      <c r="AOB19" s="85"/>
      <c r="AOC19" s="85"/>
      <c r="AOD19" s="85"/>
      <c r="AOE19" s="85"/>
      <c r="AOF19" s="85"/>
      <c r="AOG19" s="85"/>
      <c r="AOH19" s="85"/>
      <c r="AOI19" s="85"/>
      <c r="AOJ19" s="85"/>
      <c r="AOK19" s="85"/>
      <c r="AOL19" s="85"/>
      <c r="AOM19" s="85"/>
      <c r="AON19" s="85"/>
      <c r="AOO19" s="85"/>
      <c r="AOP19" s="85"/>
      <c r="AOQ19" s="85"/>
      <c r="AOR19" s="85"/>
      <c r="AOS19" s="85"/>
      <c r="AOT19" s="85"/>
      <c r="AOU19" s="85"/>
      <c r="AOV19" s="85"/>
      <c r="AOW19" s="85"/>
      <c r="AOX19" s="85"/>
      <c r="AOY19" s="85"/>
      <c r="AOZ19" s="85"/>
      <c r="APA19" s="85"/>
      <c r="APB19" s="85"/>
      <c r="APC19" s="85"/>
      <c r="APD19" s="85"/>
      <c r="APE19" s="85"/>
      <c r="APF19" s="85"/>
      <c r="APG19" s="85"/>
      <c r="APH19" s="85"/>
      <c r="API19" s="85"/>
      <c r="APJ19" s="85"/>
      <c r="APK19" s="85"/>
      <c r="APL19" s="85"/>
      <c r="APM19" s="85"/>
      <c r="APN19" s="85"/>
      <c r="APO19" s="85"/>
      <c r="APP19" s="85"/>
      <c r="APQ19" s="85"/>
      <c r="APR19" s="85"/>
      <c r="APS19" s="85"/>
      <c r="APT19" s="85"/>
      <c r="APU19" s="85"/>
      <c r="APV19" s="85"/>
      <c r="APW19" s="85"/>
      <c r="APX19" s="85"/>
      <c r="APY19" s="85"/>
      <c r="APZ19" s="85"/>
      <c r="AQA19" s="85"/>
      <c r="AQB19" s="85"/>
      <c r="AQC19" s="85"/>
      <c r="AQD19" s="85"/>
      <c r="AQE19" s="85"/>
      <c r="AQF19" s="85"/>
      <c r="AQG19" s="85"/>
      <c r="AQH19" s="85"/>
      <c r="AQI19" s="85"/>
      <c r="AQJ19" s="85"/>
      <c r="AQK19" s="85"/>
      <c r="AQL19" s="85"/>
      <c r="AQM19" s="85"/>
      <c r="AQN19" s="85"/>
      <c r="AQO19" s="85"/>
      <c r="AQP19" s="85"/>
      <c r="AQQ19" s="85"/>
      <c r="AQR19" s="85"/>
      <c r="AQS19" s="85"/>
      <c r="AQT19" s="85"/>
      <c r="AQU19" s="85"/>
      <c r="AQV19" s="85"/>
      <c r="AQW19" s="85"/>
      <c r="AQX19" s="85"/>
      <c r="AQY19" s="85"/>
      <c r="AQZ19" s="85"/>
      <c r="ARA19" s="85"/>
      <c r="ARB19" s="85"/>
      <c r="ARC19" s="85"/>
      <c r="ARD19" s="85"/>
      <c r="ARE19" s="85"/>
      <c r="ARF19" s="85"/>
      <c r="ARG19" s="85"/>
      <c r="ARH19" s="85"/>
      <c r="ARI19" s="85"/>
      <c r="ARJ19" s="85"/>
      <c r="ARK19" s="85"/>
      <c r="ARL19" s="85"/>
      <c r="ARM19" s="85"/>
      <c r="ARN19" s="85"/>
      <c r="ARO19" s="85"/>
      <c r="ARP19" s="85"/>
      <c r="ARQ19" s="85"/>
      <c r="ARR19" s="85"/>
      <c r="ARS19" s="85"/>
      <c r="ART19" s="85"/>
      <c r="ARU19" s="85"/>
      <c r="ARV19" s="85"/>
      <c r="ARW19" s="85"/>
      <c r="ARX19" s="85"/>
      <c r="ARY19" s="85"/>
      <c r="ARZ19" s="85"/>
      <c r="ASA19" s="85"/>
      <c r="ASB19" s="85"/>
      <c r="ASC19" s="85"/>
      <c r="ASD19" s="85"/>
      <c r="ASE19" s="85"/>
      <c r="ASF19" s="85"/>
      <c r="ASG19" s="85"/>
      <c r="ASH19" s="85"/>
      <c r="ASI19" s="85"/>
      <c r="ASJ19" s="85"/>
      <c r="ASK19" s="85"/>
      <c r="ASL19" s="85"/>
      <c r="ASM19" s="85"/>
      <c r="ASN19" s="85"/>
      <c r="ASO19" s="85"/>
      <c r="ASP19" s="85"/>
      <c r="ASQ19" s="85"/>
      <c r="ASR19" s="85"/>
      <c r="ASS19" s="85"/>
      <c r="AST19" s="85"/>
      <c r="ASU19" s="85"/>
      <c r="ASV19" s="85"/>
      <c r="ASW19" s="85"/>
      <c r="ASX19" s="85"/>
      <c r="ASY19" s="85"/>
      <c r="ASZ19" s="85"/>
      <c r="ATA19" s="85"/>
      <c r="ATB19" s="85"/>
      <c r="ATC19" s="85"/>
      <c r="ATD19" s="85"/>
      <c r="ATE19" s="85"/>
      <c r="ATF19" s="85"/>
      <c r="ATG19" s="85"/>
      <c r="ATH19" s="85"/>
      <c r="ATI19" s="85"/>
      <c r="ATJ19" s="85"/>
      <c r="ATK19" s="85"/>
      <c r="ATL19" s="85"/>
      <c r="ATM19" s="85"/>
      <c r="ATN19" s="85"/>
      <c r="ATO19" s="85"/>
      <c r="ATP19" s="85"/>
      <c r="ATQ19" s="85"/>
      <c r="ATR19" s="85"/>
      <c r="ATS19" s="85"/>
      <c r="ATT19" s="85"/>
      <c r="ATU19" s="85"/>
      <c r="ATV19" s="85"/>
      <c r="ATW19" s="85"/>
      <c r="ATX19" s="85"/>
      <c r="ATY19" s="85"/>
      <c r="ATZ19" s="85"/>
      <c r="AUA19" s="85"/>
      <c r="AUB19" s="85"/>
      <c r="AUC19" s="85"/>
      <c r="AUD19" s="85"/>
      <c r="AUE19" s="85"/>
      <c r="AUF19" s="85"/>
      <c r="AUG19" s="85"/>
      <c r="AUH19" s="85"/>
      <c r="AUI19" s="85"/>
      <c r="AUJ19" s="85"/>
      <c r="AUK19" s="85"/>
      <c r="AUL19" s="85"/>
      <c r="AUM19" s="85"/>
      <c r="AUN19" s="85"/>
      <c r="AUO19" s="85"/>
      <c r="AUP19" s="85"/>
      <c r="AUQ19" s="85"/>
      <c r="AUR19" s="85"/>
      <c r="AUS19" s="85"/>
      <c r="AUT19" s="85"/>
      <c r="AUU19" s="85"/>
      <c r="AUV19" s="85"/>
      <c r="AUW19" s="85"/>
      <c r="AUX19" s="85"/>
      <c r="AUY19" s="85"/>
      <c r="AUZ19" s="85"/>
      <c r="AVA19" s="85"/>
      <c r="AVB19" s="85"/>
      <c r="AVC19" s="85"/>
      <c r="AVD19" s="85"/>
      <c r="AVE19" s="85"/>
      <c r="AVF19" s="85"/>
      <c r="AVG19" s="85"/>
      <c r="AVH19" s="85"/>
      <c r="AVI19" s="85"/>
      <c r="AVJ19" s="85"/>
      <c r="AVK19" s="85"/>
      <c r="AVL19" s="85"/>
      <c r="AVM19" s="85"/>
      <c r="AVN19" s="85"/>
      <c r="AVO19" s="85"/>
      <c r="AVP19" s="85"/>
      <c r="AVQ19" s="85"/>
      <c r="AVR19" s="85"/>
      <c r="AVS19" s="85"/>
      <c r="AVT19" s="85"/>
      <c r="AVU19" s="85"/>
      <c r="AVV19" s="85"/>
      <c r="AVW19" s="85"/>
      <c r="AVX19" s="85"/>
      <c r="AVY19" s="85"/>
      <c r="AVZ19" s="85"/>
      <c r="AWA19" s="85"/>
      <c r="AWB19" s="85"/>
      <c r="AWC19" s="85"/>
      <c r="AWD19" s="85"/>
      <c r="AWE19" s="85"/>
      <c r="AWF19" s="85"/>
      <c r="AWG19" s="85"/>
      <c r="AWH19" s="85"/>
      <c r="AWI19" s="85"/>
      <c r="AWJ19" s="85"/>
      <c r="AWK19" s="85"/>
      <c r="AWL19" s="85"/>
      <c r="AWM19" s="85"/>
      <c r="AWN19" s="85"/>
      <c r="AWO19" s="85"/>
      <c r="AWP19" s="85"/>
      <c r="AWQ19" s="85"/>
      <c r="AWR19" s="85"/>
      <c r="AWS19" s="85"/>
      <c r="AWT19" s="85"/>
      <c r="AWU19" s="85"/>
      <c r="AWV19" s="85"/>
      <c r="AWW19" s="85"/>
      <c r="AWX19" s="85"/>
      <c r="AWY19" s="85"/>
      <c r="AWZ19" s="85"/>
      <c r="AXA19" s="85"/>
      <c r="AXB19" s="85"/>
      <c r="AXC19" s="85"/>
      <c r="AXD19" s="85"/>
      <c r="AXE19" s="85"/>
      <c r="AXF19" s="85"/>
      <c r="AXG19" s="85"/>
      <c r="AXH19" s="85"/>
      <c r="AXI19" s="85"/>
      <c r="AXJ19" s="85"/>
      <c r="AXK19" s="85"/>
      <c r="AXL19" s="85"/>
      <c r="AXM19" s="85"/>
      <c r="AXN19" s="85"/>
      <c r="AXO19" s="85"/>
      <c r="AXP19" s="85"/>
      <c r="AXQ19" s="85"/>
      <c r="AXR19" s="85"/>
      <c r="AXS19" s="85"/>
      <c r="AXT19" s="85"/>
      <c r="AXU19" s="85"/>
      <c r="AXV19" s="85"/>
      <c r="AXW19" s="85"/>
      <c r="AXX19" s="85"/>
      <c r="AXY19" s="85"/>
      <c r="AXZ19" s="85"/>
      <c r="AYA19" s="85"/>
      <c r="AYB19" s="85"/>
      <c r="AYC19" s="85"/>
      <c r="AYD19" s="85"/>
      <c r="AYE19" s="85"/>
      <c r="AYF19" s="85"/>
      <c r="AYG19" s="85"/>
      <c r="AYH19" s="85"/>
      <c r="AYI19" s="85"/>
      <c r="AYJ19" s="85"/>
      <c r="AYK19" s="85"/>
      <c r="AYL19" s="85"/>
      <c r="AYM19" s="85"/>
      <c r="AYN19" s="85"/>
      <c r="AYO19" s="85"/>
      <c r="AYP19" s="85"/>
      <c r="AYQ19" s="85"/>
      <c r="AYR19" s="85"/>
      <c r="AYS19" s="85"/>
      <c r="AYT19" s="85"/>
      <c r="AYU19" s="85"/>
      <c r="AYV19" s="85"/>
      <c r="AYW19" s="85"/>
      <c r="AYX19" s="85"/>
      <c r="AYY19" s="85"/>
      <c r="AYZ19" s="85"/>
      <c r="AZA19" s="85"/>
      <c r="AZB19" s="85"/>
      <c r="AZC19" s="85"/>
      <c r="AZD19" s="85"/>
      <c r="AZE19" s="85"/>
      <c r="AZF19" s="85"/>
      <c r="AZG19" s="85"/>
      <c r="AZH19" s="85"/>
      <c r="AZI19" s="85"/>
      <c r="AZJ19" s="85"/>
      <c r="AZK19" s="85"/>
      <c r="AZL19" s="85"/>
      <c r="AZM19" s="85"/>
      <c r="AZN19" s="85"/>
      <c r="AZO19" s="85"/>
      <c r="AZP19" s="85"/>
      <c r="AZQ19" s="85"/>
      <c r="AZR19" s="85"/>
      <c r="AZS19" s="85"/>
      <c r="AZT19" s="85"/>
      <c r="AZU19" s="85"/>
      <c r="AZV19" s="85"/>
      <c r="AZW19" s="85"/>
      <c r="AZX19" s="85"/>
      <c r="AZY19" s="85"/>
      <c r="AZZ19" s="85"/>
      <c r="BAA19" s="85"/>
      <c r="BAB19" s="85"/>
      <c r="BAC19" s="85"/>
      <c r="BAD19" s="85"/>
      <c r="BAE19" s="85"/>
      <c r="BAF19" s="85"/>
      <c r="BAG19" s="85"/>
      <c r="BAH19" s="85"/>
      <c r="BAI19" s="85"/>
      <c r="BAJ19" s="85"/>
      <c r="BAK19" s="85"/>
      <c r="BAL19" s="85"/>
      <c r="BAM19" s="85"/>
      <c r="BAN19" s="85"/>
      <c r="BAO19" s="85"/>
      <c r="BAP19" s="85"/>
      <c r="BAQ19" s="85"/>
      <c r="BAR19" s="85"/>
      <c r="BAS19" s="85"/>
      <c r="BAT19" s="85"/>
      <c r="BAU19" s="85"/>
      <c r="BAV19" s="85"/>
      <c r="BAW19" s="85"/>
      <c r="BAX19" s="85"/>
      <c r="BAY19" s="85"/>
      <c r="BAZ19" s="85"/>
      <c r="BBA19" s="85"/>
      <c r="BBB19" s="85"/>
      <c r="BBC19" s="85"/>
      <c r="BBD19" s="85"/>
      <c r="BBE19" s="85"/>
      <c r="BBF19" s="85"/>
      <c r="BBG19" s="85"/>
      <c r="BBH19" s="85"/>
      <c r="BBI19" s="85"/>
      <c r="BBJ19" s="85"/>
      <c r="BBK19" s="85"/>
      <c r="BBL19" s="85"/>
      <c r="BBM19" s="85"/>
      <c r="BBN19" s="85"/>
      <c r="BBO19" s="85"/>
      <c r="BBP19" s="85"/>
      <c r="BBQ19" s="85"/>
      <c r="BBR19" s="85"/>
      <c r="BBS19" s="85"/>
      <c r="BBT19" s="85"/>
      <c r="BBU19" s="85"/>
      <c r="BBV19" s="85"/>
      <c r="BBW19" s="85"/>
      <c r="BBX19" s="85"/>
      <c r="BBY19" s="85"/>
      <c r="BBZ19" s="85"/>
      <c r="BCA19" s="85"/>
      <c r="BCB19" s="85"/>
      <c r="BCC19" s="85"/>
      <c r="BCD19" s="85"/>
      <c r="BCE19" s="85"/>
      <c r="BCF19" s="85"/>
      <c r="BCG19" s="85"/>
      <c r="BCH19" s="85"/>
      <c r="BCI19" s="85"/>
      <c r="BCJ19" s="85"/>
      <c r="BCK19" s="85"/>
      <c r="BCL19" s="85"/>
      <c r="BCM19" s="85"/>
      <c r="BCN19" s="85"/>
      <c r="BCO19" s="85"/>
      <c r="BCP19" s="85"/>
      <c r="BCQ19" s="85"/>
      <c r="BCR19" s="85"/>
      <c r="BCS19" s="85"/>
      <c r="BCT19" s="85"/>
      <c r="BCU19" s="85"/>
      <c r="BCV19" s="85"/>
      <c r="BCW19" s="85"/>
      <c r="BCX19" s="85"/>
      <c r="BCY19" s="85"/>
      <c r="BCZ19" s="85"/>
      <c r="BDA19" s="85"/>
      <c r="BDB19" s="85"/>
      <c r="BDC19" s="85"/>
      <c r="BDD19" s="85"/>
      <c r="BDE19" s="85"/>
      <c r="BDF19" s="85"/>
      <c r="BDG19" s="85"/>
      <c r="BDH19" s="85"/>
      <c r="BDI19" s="85"/>
      <c r="BDJ19" s="85"/>
      <c r="BDK19" s="85"/>
      <c r="BDL19" s="85"/>
      <c r="BDM19" s="85"/>
      <c r="BDN19" s="85"/>
      <c r="BDO19" s="85"/>
      <c r="BDP19" s="85"/>
      <c r="BDQ19" s="85"/>
      <c r="BDR19" s="85"/>
      <c r="BDS19" s="85"/>
      <c r="BDT19" s="85"/>
      <c r="BDU19" s="85"/>
      <c r="BDV19" s="85"/>
      <c r="BDW19" s="85"/>
      <c r="BDX19" s="85"/>
      <c r="BDY19" s="85"/>
      <c r="BDZ19" s="85"/>
      <c r="BEA19" s="85"/>
      <c r="BEB19" s="85"/>
      <c r="BEC19" s="85"/>
      <c r="BED19" s="85"/>
      <c r="BEE19" s="85"/>
      <c r="BEF19" s="85"/>
      <c r="BEG19" s="85"/>
      <c r="BEH19" s="85"/>
      <c r="BEI19" s="85"/>
      <c r="BEJ19" s="85"/>
      <c r="BEK19" s="85"/>
      <c r="BEL19" s="85"/>
      <c r="BEM19" s="85"/>
      <c r="BEN19" s="85"/>
      <c r="BEO19" s="85"/>
      <c r="BEP19" s="85"/>
      <c r="BEQ19" s="85"/>
      <c r="BER19" s="85"/>
      <c r="BES19" s="85"/>
      <c r="BET19" s="85"/>
      <c r="BEU19" s="85"/>
      <c r="BEV19" s="85"/>
      <c r="BEW19" s="85"/>
      <c r="BEX19" s="85"/>
      <c r="BEY19" s="85"/>
      <c r="BEZ19" s="85"/>
      <c r="BFA19" s="85"/>
      <c r="BFB19" s="85"/>
      <c r="BFC19" s="85"/>
      <c r="BFD19" s="85"/>
      <c r="BFE19" s="85"/>
      <c r="BFF19" s="85"/>
      <c r="BFG19" s="85"/>
      <c r="BFH19" s="85"/>
      <c r="BFI19" s="85"/>
      <c r="BFJ19" s="85"/>
      <c r="BFK19" s="85"/>
      <c r="BFL19" s="85"/>
      <c r="BFM19" s="85"/>
      <c r="BFN19" s="85"/>
      <c r="BFO19" s="85"/>
      <c r="BFP19" s="85"/>
      <c r="BFQ19" s="85"/>
      <c r="BFR19" s="85"/>
      <c r="BFS19" s="85"/>
      <c r="BFT19" s="85"/>
      <c r="BFU19" s="85"/>
      <c r="BFV19" s="85"/>
      <c r="BFW19" s="85"/>
      <c r="BFX19" s="85"/>
      <c r="BFY19" s="85"/>
      <c r="BFZ19" s="85"/>
      <c r="BGA19" s="85"/>
      <c r="BGB19" s="85"/>
      <c r="BGC19" s="85"/>
      <c r="BGD19" s="85"/>
      <c r="BGE19" s="85"/>
      <c r="BGF19" s="85"/>
      <c r="BGG19" s="85"/>
      <c r="BGH19" s="85"/>
      <c r="BGI19" s="85"/>
      <c r="BGJ19" s="85"/>
      <c r="BGK19" s="85"/>
      <c r="BGL19" s="85"/>
      <c r="BGM19" s="85"/>
      <c r="BGN19" s="85"/>
      <c r="BGO19" s="85"/>
      <c r="BGP19" s="85"/>
      <c r="BGQ19" s="85"/>
      <c r="BGR19" s="85"/>
      <c r="BGS19" s="85"/>
      <c r="BGT19" s="85"/>
      <c r="BGU19" s="85"/>
      <c r="BGV19" s="85"/>
      <c r="BGW19" s="85"/>
      <c r="BGX19" s="85"/>
      <c r="BGY19" s="85"/>
      <c r="BGZ19" s="85"/>
      <c r="BHA19" s="85"/>
      <c r="BHB19" s="85"/>
      <c r="BHC19" s="85"/>
      <c r="BHD19" s="85"/>
      <c r="BHE19" s="85"/>
      <c r="BHF19" s="85"/>
      <c r="BHG19" s="85"/>
      <c r="BHH19" s="85"/>
      <c r="BHI19" s="85"/>
      <c r="BHJ19" s="85"/>
      <c r="BHK19" s="85"/>
      <c r="BHL19" s="85"/>
      <c r="BHM19" s="85"/>
      <c r="BHN19" s="85"/>
      <c r="BHO19" s="85"/>
      <c r="BHP19" s="85"/>
      <c r="BHQ19" s="85"/>
      <c r="BHR19" s="85"/>
      <c r="BHS19" s="85"/>
      <c r="BHT19" s="85"/>
      <c r="BHU19" s="85"/>
      <c r="BHV19" s="85"/>
      <c r="BHW19" s="85"/>
      <c r="BHX19" s="85"/>
      <c r="BHY19" s="85"/>
      <c r="BHZ19" s="85"/>
      <c r="BIA19" s="85"/>
      <c r="BIB19" s="85"/>
      <c r="BIC19" s="85"/>
      <c r="BID19" s="85"/>
      <c r="BIE19" s="85"/>
      <c r="BIF19" s="85"/>
      <c r="BIG19" s="85"/>
      <c r="BIH19" s="85"/>
      <c r="BII19" s="85"/>
      <c r="BIJ19" s="85"/>
      <c r="BIK19" s="85"/>
      <c r="BIL19" s="85"/>
      <c r="BIM19" s="85"/>
      <c r="BIN19" s="85"/>
      <c r="BIO19" s="85"/>
      <c r="BIP19" s="85"/>
      <c r="BIQ19" s="85"/>
      <c r="BIR19" s="85"/>
      <c r="BIS19" s="85"/>
      <c r="BIT19" s="85"/>
      <c r="BIU19" s="85"/>
      <c r="BIV19" s="85"/>
      <c r="BIW19" s="85"/>
      <c r="BIX19" s="85"/>
      <c r="BIY19" s="85"/>
      <c r="BIZ19" s="85"/>
      <c r="BJA19" s="85"/>
      <c r="BJB19" s="85"/>
      <c r="BJC19" s="85"/>
      <c r="BJD19" s="85"/>
      <c r="BJE19" s="85"/>
      <c r="BJF19" s="85"/>
      <c r="BJG19" s="85"/>
      <c r="BJH19" s="85"/>
      <c r="BJI19" s="85"/>
      <c r="BJJ19" s="85"/>
      <c r="BJK19" s="85"/>
      <c r="BJL19" s="85"/>
      <c r="BJM19" s="85"/>
      <c r="BJN19" s="85"/>
      <c r="BJO19" s="85"/>
      <c r="BJP19" s="85"/>
      <c r="BJQ19" s="85"/>
      <c r="BJR19" s="85"/>
      <c r="BJS19" s="85"/>
      <c r="BJT19" s="85"/>
      <c r="BJU19" s="85"/>
      <c r="BJV19" s="85"/>
      <c r="BJW19" s="85"/>
      <c r="BJX19" s="85"/>
      <c r="BJY19" s="85"/>
      <c r="BJZ19" s="85"/>
      <c r="BKA19" s="85"/>
      <c r="BKB19" s="85"/>
      <c r="BKC19" s="85"/>
      <c r="BKD19" s="85"/>
      <c r="BKE19" s="85"/>
      <c r="BKF19" s="85"/>
      <c r="BKG19" s="85"/>
      <c r="BKH19" s="85"/>
      <c r="BKI19" s="85"/>
      <c r="BKJ19" s="85"/>
      <c r="BKK19" s="85"/>
      <c r="BKL19" s="85"/>
      <c r="BKM19" s="85"/>
      <c r="BKN19" s="85"/>
      <c r="BKO19" s="85"/>
      <c r="BKP19" s="85"/>
      <c r="BKQ19" s="85"/>
      <c r="BKR19" s="85"/>
      <c r="BKS19" s="85"/>
      <c r="BKT19" s="85"/>
      <c r="BKU19" s="85"/>
      <c r="BKV19" s="85"/>
      <c r="BKW19" s="85"/>
      <c r="BKX19" s="85"/>
      <c r="BKY19" s="85"/>
      <c r="BKZ19" s="85"/>
      <c r="BLA19" s="85"/>
      <c r="BLB19" s="85"/>
      <c r="BLC19" s="85"/>
      <c r="BLD19" s="85"/>
      <c r="BLE19" s="85"/>
      <c r="BLF19" s="85"/>
      <c r="BLG19" s="85"/>
      <c r="BLH19" s="85"/>
      <c r="BLI19" s="85"/>
      <c r="BLJ19" s="85"/>
      <c r="BLK19" s="85"/>
      <c r="BLL19" s="85"/>
      <c r="BLM19" s="85"/>
      <c r="BLN19" s="85"/>
      <c r="BLO19" s="85"/>
      <c r="BLP19" s="85"/>
      <c r="BLQ19" s="85"/>
      <c r="BLR19" s="85"/>
      <c r="BLS19" s="85"/>
      <c r="BLT19" s="85"/>
      <c r="BLU19" s="85"/>
      <c r="BLV19" s="85"/>
      <c r="BLW19" s="85"/>
      <c r="BLX19" s="85"/>
      <c r="BLY19" s="85"/>
      <c r="BLZ19" s="85"/>
      <c r="BMA19" s="85"/>
      <c r="BMB19" s="85"/>
      <c r="BMC19" s="85"/>
      <c r="BMD19" s="85"/>
      <c r="BME19" s="85"/>
      <c r="BMF19" s="85"/>
      <c r="BMG19" s="85"/>
      <c r="BMH19" s="85"/>
      <c r="BMI19" s="85"/>
      <c r="BMJ19" s="85"/>
      <c r="BMK19" s="85"/>
      <c r="BML19" s="85"/>
      <c r="BMM19" s="85"/>
      <c r="BMN19" s="85"/>
      <c r="BMO19" s="85"/>
      <c r="BMP19" s="85"/>
      <c r="BMQ19" s="85"/>
      <c r="BMR19" s="85"/>
      <c r="BMS19" s="85"/>
      <c r="BMT19" s="85"/>
      <c r="BMU19" s="85"/>
      <c r="BMV19" s="85"/>
      <c r="BMW19" s="85"/>
      <c r="BMX19" s="85"/>
      <c r="BMY19" s="85"/>
      <c r="BMZ19" s="85"/>
      <c r="BNA19" s="85"/>
      <c r="BNB19" s="85"/>
      <c r="BNC19" s="85"/>
      <c r="BND19" s="85"/>
      <c r="BNE19" s="85"/>
      <c r="BNF19" s="85"/>
      <c r="BNG19" s="85"/>
      <c r="BNH19" s="85"/>
      <c r="BNI19" s="85"/>
      <c r="BNJ19" s="85"/>
      <c r="BNK19" s="85"/>
      <c r="BNL19" s="85"/>
      <c r="BNM19" s="85"/>
      <c r="BNN19" s="85"/>
      <c r="BNO19" s="85"/>
      <c r="BNP19" s="85"/>
      <c r="BNQ19" s="85"/>
      <c r="BNR19" s="85"/>
      <c r="BNS19" s="85"/>
      <c r="BNT19" s="85"/>
      <c r="BNU19" s="85"/>
      <c r="BNV19" s="85"/>
      <c r="BNW19" s="85"/>
      <c r="BNX19" s="85"/>
      <c r="BNY19" s="85"/>
      <c r="BNZ19" s="85"/>
      <c r="BOA19" s="85"/>
      <c r="BOB19" s="85"/>
      <c r="BOC19" s="85"/>
      <c r="BOD19" s="85"/>
      <c r="BOE19" s="85"/>
      <c r="BOF19" s="85"/>
      <c r="BOG19" s="85"/>
      <c r="BOH19" s="85"/>
      <c r="BOI19" s="85"/>
      <c r="BOJ19" s="85"/>
      <c r="BOK19" s="85"/>
      <c r="BOL19" s="85"/>
      <c r="BOM19" s="85"/>
      <c r="BON19" s="85"/>
      <c r="BOO19" s="85"/>
      <c r="BOP19" s="85"/>
      <c r="BOQ19" s="85"/>
      <c r="BOR19" s="85"/>
      <c r="BOS19" s="85"/>
      <c r="BOT19" s="85"/>
      <c r="BOU19" s="85"/>
      <c r="BOV19" s="85"/>
      <c r="BOW19" s="85"/>
      <c r="BOX19" s="85"/>
      <c r="BOY19" s="85"/>
      <c r="BOZ19" s="85"/>
      <c r="BPA19" s="85"/>
      <c r="BPB19" s="85"/>
      <c r="BPC19" s="85"/>
      <c r="BPD19" s="85"/>
      <c r="BPE19" s="85"/>
      <c r="BPF19" s="85"/>
      <c r="BPG19" s="85"/>
      <c r="BPH19" s="85"/>
      <c r="BPI19" s="85"/>
      <c r="BPJ19" s="85"/>
      <c r="BPK19" s="85"/>
      <c r="BPL19" s="85"/>
      <c r="BPM19" s="85"/>
      <c r="BPN19" s="85"/>
      <c r="BPO19" s="85"/>
      <c r="BPP19" s="85"/>
      <c r="BPQ19" s="85"/>
      <c r="BPR19" s="85"/>
      <c r="BPS19" s="85"/>
      <c r="BPT19" s="85"/>
      <c r="BPU19" s="85"/>
      <c r="BPV19" s="85"/>
      <c r="BPW19" s="85"/>
      <c r="BPX19" s="85"/>
      <c r="BPY19" s="85"/>
      <c r="BPZ19" s="85"/>
      <c r="BQA19" s="85"/>
      <c r="BQB19" s="85"/>
      <c r="BQC19" s="85"/>
      <c r="BQD19" s="85"/>
      <c r="BQE19" s="85"/>
      <c r="BQF19" s="85"/>
      <c r="BQG19" s="85"/>
      <c r="BQH19" s="85"/>
      <c r="BQI19" s="85"/>
      <c r="BQJ19" s="85"/>
      <c r="BQK19" s="85"/>
      <c r="BQL19" s="85"/>
      <c r="BQM19" s="85"/>
      <c r="BQN19" s="85"/>
      <c r="BQO19" s="85"/>
      <c r="BQP19" s="85"/>
      <c r="BQQ19" s="85"/>
      <c r="BQR19" s="85"/>
      <c r="BQS19" s="85"/>
      <c r="BQT19" s="85"/>
      <c r="BQU19" s="85"/>
      <c r="BQV19" s="85"/>
      <c r="BQW19" s="85"/>
      <c r="BQX19" s="85"/>
      <c r="BQY19" s="85"/>
      <c r="BQZ19" s="85"/>
      <c r="BRA19" s="85"/>
      <c r="BRB19" s="85"/>
      <c r="BRC19" s="85"/>
      <c r="BRD19" s="85"/>
      <c r="BRE19" s="85"/>
      <c r="BRF19" s="85"/>
      <c r="BRG19" s="85"/>
      <c r="BRH19" s="85"/>
      <c r="BRI19" s="85"/>
      <c r="BRJ19" s="85"/>
      <c r="BRK19" s="85"/>
      <c r="BRL19" s="85"/>
      <c r="BRM19" s="85"/>
      <c r="BRN19" s="85"/>
      <c r="BRO19" s="85"/>
      <c r="BRP19" s="85"/>
      <c r="BRQ19" s="85"/>
      <c r="BRR19" s="85"/>
      <c r="BRS19" s="85"/>
      <c r="BRT19" s="85"/>
      <c r="BRU19" s="85"/>
      <c r="BRV19" s="85"/>
      <c r="BRW19" s="85"/>
      <c r="BRX19" s="85"/>
      <c r="BRY19" s="85"/>
      <c r="BRZ19" s="85"/>
      <c r="BSA19" s="85"/>
      <c r="BSB19" s="85"/>
      <c r="BSC19" s="85"/>
      <c r="BSD19" s="85"/>
      <c r="BSE19" s="85"/>
      <c r="BSF19" s="85"/>
      <c r="BSG19" s="85"/>
      <c r="BSH19" s="85"/>
      <c r="BSI19" s="85"/>
      <c r="BSJ19" s="85"/>
      <c r="BSK19" s="85"/>
      <c r="BSL19" s="85"/>
      <c r="BSM19" s="85"/>
      <c r="BSN19" s="85"/>
      <c r="BSO19" s="85"/>
      <c r="BSP19" s="85"/>
      <c r="BSQ19" s="85"/>
      <c r="BSR19" s="85"/>
      <c r="BSS19" s="85"/>
      <c r="BST19" s="85"/>
      <c r="BSU19" s="85"/>
      <c r="BSV19" s="85"/>
      <c r="BSW19" s="85"/>
      <c r="BSX19" s="85"/>
      <c r="BSY19" s="85"/>
      <c r="BSZ19" s="85"/>
      <c r="BTA19" s="85"/>
      <c r="BTB19" s="85"/>
      <c r="BTC19" s="85"/>
      <c r="BTD19" s="85"/>
      <c r="BTE19" s="85"/>
      <c r="BTF19" s="85"/>
      <c r="BTG19" s="85"/>
      <c r="BTH19" s="85"/>
      <c r="BTI19" s="85"/>
      <c r="BTJ19" s="85"/>
      <c r="BTK19" s="85"/>
      <c r="BTL19" s="85"/>
      <c r="BTM19" s="85"/>
      <c r="BTN19" s="85"/>
      <c r="BTO19" s="85"/>
      <c r="BTP19" s="85"/>
      <c r="BTQ19" s="85"/>
      <c r="BTR19" s="85"/>
      <c r="BTS19" s="85"/>
      <c r="BTT19" s="85"/>
      <c r="BTU19" s="85"/>
      <c r="BTV19" s="85"/>
      <c r="BTW19" s="85"/>
      <c r="BTX19" s="85"/>
      <c r="BTY19" s="85"/>
      <c r="BTZ19" s="85"/>
      <c r="BUA19" s="85"/>
      <c r="BUB19" s="85"/>
      <c r="BUC19" s="85"/>
      <c r="BUD19" s="85"/>
      <c r="BUE19" s="85"/>
      <c r="BUF19" s="85"/>
      <c r="BUG19" s="85"/>
      <c r="BUH19" s="85"/>
      <c r="BUI19" s="85"/>
      <c r="BUJ19" s="85"/>
      <c r="BUK19" s="85"/>
      <c r="BUL19" s="85"/>
      <c r="BUM19" s="85"/>
      <c r="BUN19" s="85"/>
      <c r="BUO19" s="85"/>
      <c r="BUP19" s="85"/>
      <c r="BUQ19" s="85"/>
      <c r="BUR19" s="85"/>
      <c r="BUS19" s="85"/>
      <c r="BUT19" s="85"/>
      <c r="BUU19" s="85"/>
      <c r="BUV19" s="85"/>
      <c r="BUW19" s="85"/>
      <c r="BUX19" s="85"/>
      <c r="BUY19" s="85"/>
      <c r="BUZ19" s="85"/>
      <c r="BVA19" s="85"/>
      <c r="BVB19" s="85"/>
      <c r="BVC19" s="85"/>
      <c r="BVD19" s="85"/>
      <c r="BVE19" s="85"/>
      <c r="BVF19" s="85"/>
      <c r="BVG19" s="85"/>
      <c r="BVH19" s="85"/>
      <c r="BVI19" s="85"/>
      <c r="BVJ19" s="85"/>
      <c r="BVK19" s="85"/>
      <c r="BVL19" s="85"/>
      <c r="BVM19" s="85"/>
      <c r="BVN19" s="85"/>
      <c r="BVO19" s="85"/>
      <c r="BVP19" s="85"/>
      <c r="BVQ19" s="85"/>
      <c r="BVR19" s="85"/>
      <c r="BVS19" s="85"/>
      <c r="BVT19" s="85"/>
      <c r="BVU19" s="85"/>
      <c r="BVV19" s="85"/>
      <c r="BVW19" s="85"/>
      <c r="BVX19" s="85"/>
      <c r="BVY19" s="85"/>
      <c r="BVZ19" s="85"/>
      <c r="BWA19" s="85"/>
      <c r="BWB19" s="85"/>
      <c r="BWC19" s="85"/>
      <c r="BWD19" s="85"/>
      <c r="BWE19" s="85"/>
      <c r="BWF19" s="85"/>
      <c r="BWG19" s="85"/>
      <c r="BWH19" s="85"/>
      <c r="BWI19" s="85"/>
      <c r="BWJ19" s="85"/>
      <c r="BWK19" s="85"/>
      <c r="BWL19" s="85"/>
      <c r="BWM19" s="85"/>
      <c r="BWN19" s="85"/>
      <c r="BWO19" s="85"/>
      <c r="BWP19" s="85"/>
      <c r="BWQ19" s="85"/>
      <c r="BWR19" s="85"/>
      <c r="BWS19" s="85"/>
      <c r="BWT19" s="85"/>
      <c r="BWU19" s="85"/>
      <c r="BWV19" s="85"/>
      <c r="BWW19" s="85"/>
      <c r="BWX19" s="85"/>
      <c r="BWY19" s="85"/>
      <c r="BWZ19" s="85"/>
      <c r="BXA19" s="85"/>
      <c r="BXB19" s="85"/>
      <c r="BXC19" s="85"/>
      <c r="BXD19" s="85"/>
      <c r="BXE19" s="85"/>
      <c r="BXF19" s="85"/>
      <c r="BXG19" s="85"/>
      <c r="BXH19" s="85"/>
      <c r="BXI19" s="85"/>
      <c r="BXJ19" s="85"/>
      <c r="BXK19" s="85"/>
      <c r="BXL19" s="85"/>
      <c r="BXM19" s="85"/>
      <c r="BXN19" s="85"/>
      <c r="BXO19" s="85"/>
      <c r="BXP19" s="85"/>
      <c r="BXQ19" s="85"/>
      <c r="BXR19" s="85"/>
      <c r="BXS19" s="85"/>
      <c r="BXT19" s="85"/>
      <c r="BXU19" s="85"/>
      <c r="BXV19" s="85"/>
      <c r="BXW19" s="85"/>
      <c r="BXX19" s="85"/>
      <c r="BXY19" s="85"/>
      <c r="BXZ19" s="85"/>
      <c r="BYA19" s="85"/>
      <c r="BYB19" s="85"/>
      <c r="BYC19" s="85"/>
      <c r="BYD19" s="85"/>
      <c r="BYE19" s="85"/>
      <c r="BYF19" s="85"/>
      <c r="BYG19" s="85"/>
      <c r="BYH19" s="85"/>
      <c r="BYI19" s="85"/>
      <c r="BYJ19" s="85"/>
      <c r="BYK19" s="85"/>
      <c r="BYL19" s="85"/>
      <c r="BYM19" s="85"/>
      <c r="BYN19" s="85"/>
      <c r="BYO19" s="85"/>
      <c r="BYP19" s="85"/>
      <c r="BYQ19" s="85"/>
      <c r="BYR19" s="85"/>
      <c r="BYS19" s="85"/>
      <c r="BYT19" s="85"/>
      <c r="BYU19" s="85"/>
      <c r="BYV19" s="85"/>
      <c r="BYW19" s="85"/>
      <c r="BYX19" s="85"/>
      <c r="BYY19" s="85"/>
      <c r="BYZ19" s="85"/>
      <c r="BZA19" s="85"/>
      <c r="BZB19" s="85"/>
      <c r="BZC19" s="85"/>
      <c r="BZD19" s="85"/>
      <c r="BZE19" s="85"/>
      <c r="BZF19" s="85"/>
      <c r="BZG19" s="85"/>
      <c r="BZH19" s="85"/>
      <c r="BZI19" s="85"/>
      <c r="BZJ19" s="85"/>
      <c r="BZK19" s="85"/>
      <c r="BZL19" s="85"/>
      <c r="BZM19" s="85"/>
      <c r="BZN19" s="85"/>
      <c r="BZO19" s="85"/>
      <c r="BZP19" s="85"/>
      <c r="BZQ19" s="85"/>
      <c r="BZR19" s="85"/>
      <c r="BZS19" s="85"/>
      <c r="BZT19" s="85"/>
      <c r="BZU19" s="85"/>
      <c r="BZV19" s="85"/>
      <c r="BZW19" s="85"/>
      <c r="BZX19" s="85"/>
      <c r="BZY19" s="85"/>
      <c r="BZZ19" s="85"/>
      <c r="CAA19" s="85"/>
      <c r="CAB19" s="85"/>
      <c r="CAC19" s="85"/>
      <c r="CAD19" s="85"/>
      <c r="CAE19" s="85"/>
      <c r="CAF19" s="85"/>
      <c r="CAG19" s="85"/>
      <c r="CAH19" s="85"/>
      <c r="CAI19" s="85"/>
      <c r="CAJ19" s="85"/>
      <c r="CAK19" s="85"/>
      <c r="CAL19" s="85"/>
      <c r="CAM19" s="85"/>
      <c r="CAN19" s="85"/>
      <c r="CAO19" s="85"/>
      <c r="CAP19" s="85"/>
      <c r="CAQ19" s="85"/>
      <c r="CAR19" s="85"/>
      <c r="CAS19" s="85"/>
      <c r="CAT19" s="85"/>
      <c r="CAU19" s="85"/>
      <c r="CAV19" s="85"/>
      <c r="CAW19" s="85"/>
      <c r="CAX19" s="85"/>
      <c r="CAY19" s="85"/>
      <c r="CAZ19" s="85"/>
      <c r="CBA19" s="85"/>
      <c r="CBB19" s="85"/>
      <c r="CBC19" s="85"/>
      <c r="CBD19" s="85"/>
      <c r="CBE19" s="85"/>
      <c r="CBF19" s="85"/>
      <c r="CBG19" s="85"/>
      <c r="CBH19" s="85"/>
      <c r="CBI19" s="85"/>
      <c r="CBJ19" s="85"/>
      <c r="CBK19" s="85"/>
      <c r="CBL19" s="85"/>
      <c r="CBM19" s="85"/>
      <c r="CBN19" s="85"/>
      <c r="CBO19" s="85"/>
      <c r="CBP19" s="85"/>
      <c r="CBQ19" s="85"/>
      <c r="CBR19" s="85"/>
      <c r="CBS19" s="85"/>
      <c r="CBT19" s="85"/>
      <c r="CBU19" s="85"/>
      <c r="CBV19" s="85"/>
      <c r="CBW19" s="85"/>
      <c r="CBX19" s="85"/>
      <c r="CBY19" s="85"/>
      <c r="CBZ19" s="85"/>
      <c r="CCA19" s="85"/>
      <c r="CCB19" s="85"/>
      <c r="CCC19" s="85"/>
      <c r="CCD19" s="85"/>
      <c r="CCE19" s="85"/>
      <c r="CCF19" s="85"/>
      <c r="CCG19" s="85"/>
      <c r="CCH19" s="85"/>
      <c r="CCI19" s="85"/>
      <c r="CCJ19" s="85"/>
      <c r="CCK19" s="85"/>
      <c r="CCL19" s="85"/>
      <c r="CCM19" s="85"/>
      <c r="CCN19" s="85"/>
      <c r="CCO19" s="85"/>
      <c r="CCP19" s="85"/>
      <c r="CCQ19" s="85"/>
      <c r="CCR19" s="85"/>
      <c r="CCS19" s="85"/>
      <c r="CCT19" s="85"/>
      <c r="CCU19" s="85"/>
      <c r="CCV19" s="85"/>
      <c r="CCW19" s="85"/>
      <c r="CCX19" s="85"/>
      <c r="CCY19" s="85"/>
      <c r="CCZ19" s="85"/>
      <c r="CDA19" s="85"/>
      <c r="CDB19" s="85"/>
      <c r="CDC19" s="85"/>
      <c r="CDD19" s="85"/>
      <c r="CDE19" s="85"/>
      <c r="CDF19" s="85"/>
      <c r="CDG19" s="85"/>
      <c r="CDH19" s="85"/>
      <c r="CDI19" s="85"/>
      <c r="CDJ19" s="85"/>
      <c r="CDK19" s="85"/>
      <c r="CDL19" s="85"/>
      <c r="CDM19" s="85"/>
      <c r="CDN19" s="85"/>
      <c r="CDO19" s="85"/>
      <c r="CDP19" s="85"/>
      <c r="CDQ19" s="85"/>
      <c r="CDR19" s="85"/>
      <c r="CDS19" s="85"/>
      <c r="CDT19" s="85"/>
      <c r="CDU19" s="85"/>
      <c r="CDV19" s="85"/>
      <c r="CDW19" s="85"/>
      <c r="CDX19" s="85"/>
      <c r="CDY19" s="85"/>
      <c r="CDZ19" s="85"/>
      <c r="CEA19" s="85"/>
      <c r="CEB19" s="85"/>
      <c r="CEC19" s="85"/>
      <c r="CED19" s="85"/>
      <c r="CEE19" s="85"/>
      <c r="CEF19" s="85"/>
      <c r="CEG19" s="85"/>
      <c r="CEH19" s="85"/>
      <c r="CEI19" s="85"/>
      <c r="CEJ19" s="85"/>
      <c r="CEK19" s="85"/>
      <c r="CEL19" s="85"/>
      <c r="CEM19" s="85"/>
      <c r="CEN19" s="85"/>
      <c r="CEO19" s="85"/>
      <c r="CEP19" s="85"/>
      <c r="CEQ19" s="85"/>
      <c r="CER19" s="85"/>
      <c r="CES19" s="85"/>
      <c r="CET19" s="85"/>
      <c r="CEU19" s="85"/>
      <c r="CEV19" s="85"/>
      <c r="CEW19" s="85"/>
      <c r="CEX19" s="85"/>
      <c r="CEY19" s="85"/>
      <c r="CEZ19" s="85"/>
      <c r="CFA19" s="85"/>
      <c r="CFB19" s="85"/>
      <c r="CFC19" s="85"/>
      <c r="CFD19" s="85"/>
      <c r="CFE19" s="85"/>
      <c r="CFF19" s="85"/>
      <c r="CFG19" s="85"/>
      <c r="CFH19" s="85"/>
      <c r="CFI19" s="85"/>
      <c r="CFJ19" s="85"/>
      <c r="CFK19" s="85"/>
      <c r="CFL19" s="85"/>
      <c r="CFM19" s="85"/>
      <c r="CFN19" s="85"/>
      <c r="CFO19" s="85"/>
      <c r="CFP19" s="85"/>
      <c r="CFQ19" s="85"/>
      <c r="CFR19" s="85"/>
      <c r="CFS19" s="85"/>
      <c r="CFT19" s="85"/>
      <c r="CFU19" s="85"/>
      <c r="CFV19" s="85"/>
      <c r="CFW19" s="85"/>
      <c r="CFX19" s="85"/>
      <c r="CFY19" s="85"/>
      <c r="CFZ19" s="85"/>
      <c r="CGA19" s="85"/>
      <c r="CGB19" s="85"/>
      <c r="CGC19" s="85"/>
      <c r="CGD19" s="85"/>
      <c r="CGE19" s="85"/>
      <c r="CGF19" s="85"/>
      <c r="CGG19" s="85"/>
      <c r="CGH19" s="85"/>
      <c r="CGI19" s="85"/>
      <c r="CGJ19" s="85"/>
      <c r="CGK19" s="85"/>
      <c r="CGL19" s="85"/>
      <c r="CGM19" s="85"/>
      <c r="CGN19" s="85"/>
      <c r="CGO19" s="85"/>
      <c r="CGP19" s="85"/>
      <c r="CGQ19" s="85"/>
      <c r="CGR19" s="85"/>
      <c r="CGS19" s="85"/>
      <c r="CGT19" s="85"/>
      <c r="CGU19" s="85"/>
      <c r="CGV19" s="85"/>
      <c r="CGW19" s="85"/>
      <c r="CGX19" s="85"/>
      <c r="CGY19" s="85"/>
      <c r="CGZ19" s="85"/>
      <c r="CHA19" s="85"/>
      <c r="CHB19" s="85"/>
      <c r="CHC19" s="85"/>
      <c r="CHD19" s="85"/>
      <c r="CHE19" s="85"/>
      <c r="CHF19" s="85"/>
      <c r="CHG19" s="85"/>
      <c r="CHH19" s="85"/>
      <c r="CHI19" s="85"/>
      <c r="CHJ19" s="85"/>
      <c r="CHK19" s="85"/>
      <c r="CHL19" s="85"/>
      <c r="CHM19" s="85"/>
      <c r="CHN19" s="85"/>
      <c r="CHO19" s="85"/>
      <c r="CHP19" s="85"/>
      <c r="CHQ19" s="85"/>
      <c r="CHR19" s="85"/>
      <c r="CHS19" s="85"/>
      <c r="CHT19" s="85"/>
      <c r="CHU19" s="85"/>
      <c r="CHV19" s="85"/>
      <c r="CHW19" s="85"/>
      <c r="CHX19" s="85"/>
      <c r="CHY19" s="85"/>
      <c r="CHZ19" s="85"/>
      <c r="CIA19" s="85"/>
      <c r="CIB19" s="85"/>
      <c r="CIC19" s="85"/>
      <c r="CID19" s="85"/>
      <c r="CIE19" s="85"/>
      <c r="CIF19" s="85"/>
      <c r="CIG19" s="85"/>
      <c r="CIH19" s="85"/>
      <c r="CII19" s="85"/>
      <c r="CIJ19" s="85"/>
      <c r="CIK19" s="85"/>
      <c r="CIL19" s="85"/>
      <c r="CIM19" s="85"/>
      <c r="CIN19" s="85"/>
      <c r="CIO19" s="85"/>
      <c r="CIP19" s="85"/>
      <c r="CIQ19" s="85"/>
      <c r="CIR19" s="85"/>
      <c r="CIS19" s="85"/>
      <c r="CIT19" s="85"/>
      <c r="CIU19" s="85"/>
      <c r="CIV19" s="85"/>
      <c r="CIW19" s="85"/>
      <c r="CIX19" s="85"/>
      <c r="CIY19" s="85"/>
      <c r="CIZ19" s="85"/>
      <c r="CJA19" s="85"/>
      <c r="CJB19" s="85"/>
      <c r="CJC19" s="85"/>
      <c r="CJD19" s="85"/>
      <c r="CJE19" s="85"/>
      <c r="CJF19" s="85"/>
      <c r="CJG19" s="85"/>
      <c r="CJH19" s="85"/>
      <c r="CJI19" s="85"/>
      <c r="CJJ19" s="85"/>
      <c r="CJK19" s="85"/>
      <c r="CJL19" s="85"/>
      <c r="CJM19" s="85"/>
      <c r="CJN19" s="85"/>
      <c r="CJO19" s="85"/>
      <c r="CJP19" s="85"/>
      <c r="CJQ19" s="85"/>
      <c r="CJR19" s="85"/>
      <c r="CJS19" s="85"/>
      <c r="CJT19" s="85"/>
      <c r="CJU19" s="85"/>
      <c r="CJV19" s="85"/>
      <c r="CJW19" s="85"/>
      <c r="CJX19" s="85"/>
      <c r="CJY19" s="85"/>
      <c r="CJZ19" s="85"/>
      <c r="CKA19" s="85"/>
      <c r="CKB19" s="85"/>
      <c r="CKC19" s="85"/>
      <c r="CKD19" s="85"/>
      <c r="CKE19" s="85"/>
      <c r="CKF19" s="85"/>
      <c r="CKG19" s="85"/>
      <c r="CKH19" s="85"/>
      <c r="CKI19" s="85"/>
      <c r="CKJ19" s="85"/>
      <c r="CKK19" s="85"/>
      <c r="CKL19" s="85"/>
      <c r="CKM19" s="85"/>
      <c r="CKN19" s="85"/>
      <c r="CKO19" s="85"/>
      <c r="CKP19" s="85"/>
      <c r="CKQ19" s="85"/>
      <c r="CKR19" s="85"/>
      <c r="CKS19" s="85"/>
      <c r="CKT19" s="85"/>
      <c r="CKU19" s="85"/>
      <c r="CKV19" s="85"/>
      <c r="CKW19" s="85"/>
      <c r="CKX19" s="85"/>
      <c r="CKY19" s="85"/>
      <c r="CKZ19" s="85"/>
      <c r="CLA19" s="85"/>
      <c r="CLB19" s="85"/>
      <c r="CLC19" s="85"/>
      <c r="CLD19" s="85"/>
      <c r="CLE19" s="85"/>
      <c r="CLF19" s="85"/>
      <c r="CLG19" s="85"/>
      <c r="CLH19" s="85"/>
      <c r="CLI19" s="85"/>
      <c r="CLJ19" s="85"/>
      <c r="CLK19" s="85"/>
      <c r="CLL19" s="85"/>
      <c r="CLM19" s="85"/>
      <c r="CLN19" s="85"/>
      <c r="CLO19" s="85"/>
      <c r="CLP19" s="85"/>
      <c r="CLQ19" s="85"/>
      <c r="CLR19" s="85"/>
      <c r="CLS19" s="85"/>
      <c r="CLT19" s="85"/>
      <c r="CLU19" s="85"/>
      <c r="CLV19" s="85"/>
      <c r="CLW19" s="85"/>
      <c r="CLX19" s="85"/>
      <c r="CLY19" s="85"/>
      <c r="CLZ19" s="85"/>
      <c r="CMA19" s="85"/>
      <c r="CMB19" s="85"/>
      <c r="CMC19" s="85"/>
      <c r="CMD19" s="85"/>
      <c r="CME19" s="85"/>
      <c r="CMF19" s="85"/>
      <c r="CMG19" s="85"/>
      <c r="CMH19" s="85"/>
      <c r="CMI19" s="85"/>
      <c r="CMJ19" s="85"/>
      <c r="CMK19" s="85"/>
      <c r="CML19" s="85"/>
      <c r="CMM19" s="85"/>
      <c r="CMN19" s="85"/>
      <c r="CMO19" s="85"/>
      <c r="CMP19" s="85"/>
      <c r="CMQ19" s="85"/>
      <c r="CMR19" s="85"/>
      <c r="CMS19" s="85"/>
      <c r="CMT19" s="85"/>
      <c r="CMU19" s="85"/>
      <c r="CMV19" s="85"/>
      <c r="CMW19" s="85"/>
      <c r="CMX19" s="85"/>
      <c r="CMY19" s="85"/>
      <c r="CMZ19" s="85"/>
      <c r="CNA19" s="85"/>
      <c r="CNB19" s="85"/>
      <c r="CNC19" s="85"/>
      <c r="CND19" s="85"/>
      <c r="CNE19" s="85"/>
      <c r="CNF19" s="85"/>
      <c r="CNG19" s="85"/>
      <c r="CNH19" s="85"/>
      <c r="CNI19" s="85"/>
      <c r="CNJ19" s="85"/>
      <c r="CNK19" s="85"/>
      <c r="CNL19" s="85"/>
      <c r="CNM19" s="85"/>
      <c r="CNN19" s="85"/>
      <c r="CNO19" s="85"/>
      <c r="CNP19" s="85"/>
      <c r="CNQ19" s="85"/>
      <c r="CNR19" s="85"/>
      <c r="CNS19" s="85"/>
      <c r="CNT19" s="85"/>
      <c r="CNU19" s="85"/>
      <c r="CNV19" s="85"/>
      <c r="CNW19" s="85"/>
      <c r="CNX19" s="85"/>
      <c r="CNY19" s="85"/>
      <c r="CNZ19" s="85"/>
      <c r="COA19" s="85"/>
      <c r="COB19" s="85"/>
      <c r="COC19" s="85"/>
      <c r="COD19" s="85"/>
      <c r="COE19" s="85"/>
      <c r="COF19" s="85"/>
      <c r="COG19" s="85"/>
      <c r="COH19" s="85"/>
      <c r="COI19" s="85"/>
      <c r="COJ19" s="85"/>
      <c r="COK19" s="85"/>
      <c r="COL19" s="85"/>
      <c r="COM19" s="85"/>
      <c r="CON19" s="85"/>
      <c r="COO19" s="85"/>
      <c r="COP19" s="85"/>
      <c r="COQ19" s="85"/>
      <c r="COR19" s="85"/>
      <c r="COS19" s="85"/>
      <c r="COT19" s="85"/>
      <c r="COU19" s="85"/>
      <c r="COV19" s="85"/>
      <c r="COW19" s="85"/>
      <c r="COX19" s="85"/>
      <c r="COY19" s="85"/>
      <c r="COZ19" s="85"/>
      <c r="CPA19" s="85"/>
      <c r="CPB19" s="85"/>
      <c r="CPC19" s="85"/>
      <c r="CPD19" s="85"/>
      <c r="CPE19" s="85"/>
      <c r="CPF19" s="85"/>
      <c r="CPG19" s="85"/>
      <c r="CPH19" s="85"/>
      <c r="CPI19" s="85"/>
      <c r="CPJ19" s="85"/>
      <c r="CPK19" s="85"/>
      <c r="CPL19" s="85"/>
      <c r="CPM19" s="85"/>
      <c r="CPN19" s="85"/>
      <c r="CPO19" s="85"/>
      <c r="CPP19" s="85"/>
      <c r="CPQ19" s="85"/>
      <c r="CPR19" s="85"/>
      <c r="CPS19" s="85"/>
      <c r="CPT19" s="85"/>
      <c r="CPU19" s="85"/>
      <c r="CPV19" s="85"/>
      <c r="CPW19" s="85"/>
      <c r="CPX19" s="85"/>
      <c r="CPY19" s="85"/>
      <c r="CPZ19" s="85"/>
      <c r="CQA19" s="85"/>
      <c r="CQB19" s="85"/>
      <c r="CQC19" s="85"/>
      <c r="CQD19" s="85"/>
      <c r="CQE19" s="85"/>
      <c r="CQF19" s="85"/>
      <c r="CQG19" s="85"/>
      <c r="CQH19" s="85"/>
      <c r="CQI19" s="85"/>
      <c r="CQJ19" s="85"/>
      <c r="CQK19" s="85"/>
      <c r="CQL19" s="85"/>
      <c r="CQM19" s="85"/>
      <c r="CQN19" s="85"/>
      <c r="CQO19" s="85"/>
      <c r="CQP19" s="85"/>
      <c r="CQQ19" s="85"/>
      <c r="CQR19" s="85"/>
      <c r="CQS19" s="85"/>
      <c r="CQT19" s="85"/>
      <c r="CQU19" s="85"/>
      <c r="CQV19" s="85"/>
      <c r="CQW19" s="85"/>
      <c r="CQX19" s="85"/>
      <c r="CQY19" s="85"/>
      <c r="CQZ19" s="85"/>
      <c r="CRA19" s="85"/>
      <c r="CRB19" s="85"/>
      <c r="CRC19" s="85"/>
      <c r="CRD19" s="85"/>
      <c r="CRE19" s="85"/>
      <c r="CRF19" s="85"/>
      <c r="CRG19" s="85"/>
      <c r="CRH19" s="85"/>
      <c r="CRI19" s="85"/>
      <c r="CRJ19" s="85"/>
      <c r="CRK19" s="85"/>
      <c r="CRL19" s="85"/>
      <c r="CRM19" s="85"/>
      <c r="CRN19" s="85"/>
      <c r="CRO19" s="85"/>
      <c r="CRP19" s="85"/>
      <c r="CRQ19" s="85"/>
      <c r="CRR19" s="85"/>
      <c r="CRS19" s="85"/>
      <c r="CRT19" s="85"/>
      <c r="CRU19" s="85"/>
      <c r="CRV19" s="85"/>
      <c r="CRW19" s="85"/>
      <c r="CRX19" s="85"/>
      <c r="CRY19" s="85"/>
      <c r="CRZ19" s="85"/>
      <c r="CSA19" s="85"/>
      <c r="CSB19" s="85"/>
      <c r="CSC19" s="85"/>
      <c r="CSD19" s="85"/>
      <c r="CSE19" s="85"/>
      <c r="CSF19" s="85"/>
      <c r="CSG19" s="85"/>
      <c r="CSH19" s="85"/>
      <c r="CSI19" s="85"/>
      <c r="CSJ19" s="85"/>
      <c r="CSK19" s="85"/>
      <c r="CSL19" s="85"/>
      <c r="CSM19" s="85"/>
      <c r="CSN19" s="85"/>
      <c r="CSO19" s="85"/>
      <c r="CSP19" s="85"/>
      <c r="CSQ19" s="85"/>
      <c r="CSR19" s="85"/>
      <c r="CSS19" s="85"/>
      <c r="CST19" s="85"/>
      <c r="CSU19" s="85"/>
      <c r="CSV19" s="85"/>
      <c r="CSW19" s="85"/>
      <c r="CSX19" s="85"/>
      <c r="CSY19" s="85"/>
      <c r="CSZ19" s="85"/>
      <c r="CTA19" s="85"/>
      <c r="CTB19" s="85"/>
      <c r="CTC19" s="85"/>
      <c r="CTD19" s="85"/>
      <c r="CTE19" s="85"/>
      <c r="CTF19" s="85"/>
      <c r="CTG19" s="85"/>
      <c r="CTH19" s="85"/>
      <c r="CTI19" s="85"/>
      <c r="CTJ19" s="85"/>
      <c r="CTK19" s="85"/>
      <c r="CTL19" s="85"/>
      <c r="CTM19" s="85"/>
      <c r="CTN19" s="85"/>
      <c r="CTO19" s="85"/>
      <c r="CTP19" s="85"/>
      <c r="CTQ19" s="85"/>
      <c r="CTR19" s="85"/>
      <c r="CTS19" s="85"/>
      <c r="CTT19" s="85"/>
      <c r="CTU19" s="85"/>
      <c r="CTV19" s="85"/>
      <c r="CTW19" s="85"/>
      <c r="CTX19" s="85"/>
      <c r="CTY19" s="85"/>
      <c r="CTZ19" s="85"/>
      <c r="CUA19" s="85"/>
      <c r="CUB19" s="85"/>
      <c r="CUC19" s="85"/>
      <c r="CUD19" s="85"/>
      <c r="CUE19" s="85"/>
      <c r="CUF19" s="85"/>
      <c r="CUG19" s="85"/>
      <c r="CUH19" s="85"/>
      <c r="CUI19" s="85"/>
      <c r="CUJ19" s="85"/>
      <c r="CUK19" s="85"/>
      <c r="CUL19" s="85"/>
      <c r="CUM19" s="85"/>
      <c r="CUN19" s="85"/>
      <c r="CUO19" s="85"/>
      <c r="CUP19" s="85"/>
      <c r="CUQ19" s="85"/>
      <c r="CUR19" s="85"/>
      <c r="CUS19" s="85"/>
      <c r="CUT19" s="85"/>
      <c r="CUU19" s="85"/>
      <c r="CUV19" s="85"/>
      <c r="CUW19" s="85"/>
      <c r="CUX19" s="85"/>
      <c r="CUY19" s="85"/>
      <c r="CUZ19" s="85"/>
      <c r="CVA19" s="85"/>
      <c r="CVB19" s="85"/>
      <c r="CVC19" s="85"/>
      <c r="CVD19" s="85"/>
      <c r="CVE19" s="85"/>
      <c r="CVF19" s="85"/>
      <c r="CVG19" s="85"/>
      <c r="CVH19" s="85"/>
      <c r="CVI19" s="85"/>
      <c r="CVJ19" s="85"/>
      <c r="CVK19" s="85"/>
      <c r="CVL19" s="85"/>
      <c r="CVM19" s="85"/>
      <c r="CVN19" s="85"/>
      <c r="CVO19" s="85"/>
      <c r="CVP19" s="85"/>
      <c r="CVQ19" s="85"/>
      <c r="CVR19" s="85"/>
      <c r="CVS19" s="85"/>
      <c r="CVT19" s="85"/>
      <c r="CVU19" s="85"/>
      <c r="CVV19" s="85"/>
      <c r="CVW19" s="85"/>
      <c r="CVX19" s="85"/>
      <c r="CVY19" s="85"/>
      <c r="CVZ19" s="85"/>
      <c r="CWA19" s="85"/>
      <c r="CWB19" s="85"/>
      <c r="CWC19" s="85"/>
      <c r="CWD19" s="85"/>
      <c r="CWE19" s="85"/>
      <c r="CWF19" s="85"/>
      <c r="CWG19" s="85"/>
      <c r="CWH19" s="85"/>
      <c r="CWI19" s="85"/>
      <c r="CWJ19" s="85"/>
      <c r="CWK19" s="85"/>
      <c r="CWL19" s="85"/>
      <c r="CWM19" s="85"/>
      <c r="CWN19" s="85"/>
      <c r="CWO19" s="85"/>
      <c r="CWP19" s="85"/>
      <c r="CWQ19" s="85"/>
      <c r="CWR19" s="85"/>
      <c r="CWS19" s="85"/>
      <c r="CWT19" s="85"/>
      <c r="CWU19" s="85"/>
      <c r="CWV19" s="85"/>
      <c r="CWW19" s="85"/>
      <c r="CWX19" s="85"/>
      <c r="CWY19" s="85"/>
      <c r="CWZ19" s="85"/>
      <c r="CXA19" s="85"/>
      <c r="CXB19" s="85"/>
      <c r="CXC19" s="85"/>
      <c r="CXD19" s="85"/>
      <c r="CXE19" s="85"/>
      <c r="CXF19" s="85"/>
      <c r="CXG19" s="85"/>
      <c r="CXH19" s="85"/>
      <c r="CXI19" s="85"/>
      <c r="CXJ19" s="85"/>
      <c r="CXK19" s="85"/>
      <c r="CXL19" s="85"/>
      <c r="CXM19" s="85"/>
      <c r="CXN19" s="85"/>
      <c r="CXO19" s="85"/>
      <c r="CXP19" s="85"/>
      <c r="CXQ19" s="85"/>
      <c r="CXR19" s="85"/>
      <c r="CXS19" s="85"/>
      <c r="CXT19" s="85"/>
      <c r="CXU19" s="85"/>
      <c r="CXV19" s="85"/>
      <c r="CXW19" s="85"/>
      <c r="CXX19" s="85"/>
      <c r="CXY19" s="85"/>
      <c r="CXZ19" s="85"/>
      <c r="CYA19" s="85"/>
      <c r="CYB19" s="85"/>
      <c r="CYC19" s="85"/>
      <c r="CYD19" s="85"/>
      <c r="CYE19" s="85"/>
      <c r="CYF19" s="85"/>
      <c r="CYG19" s="85"/>
      <c r="CYH19" s="85"/>
      <c r="CYI19" s="85"/>
      <c r="CYJ19" s="85"/>
      <c r="CYK19" s="85"/>
      <c r="CYL19" s="85"/>
      <c r="CYM19" s="85"/>
      <c r="CYN19" s="85"/>
      <c r="CYO19" s="85"/>
      <c r="CYP19" s="85"/>
      <c r="CYQ19" s="85"/>
      <c r="CYR19" s="85"/>
      <c r="CYS19" s="85"/>
      <c r="CYT19" s="85"/>
      <c r="CYU19" s="85"/>
      <c r="CYV19" s="85"/>
      <c r="CYW19" s="85"/>
      <c r="CYX19" s="85"/>
      <c r="CYY19" s="85"/>
      <c r="CYZ19" s="85"/>
      <c r="CZA19" s="85"/>
      <c r="CZB19" s="85"/>
      <c r="CZC19" s="85"/>
      <c r="CZD19" s="85"/>
      <c r="CZE19" s="85"/>
      <c r="CZF19" s="85"/>
      <c r="CZG19" s="85"/>
      <c r="CZH19" s="85"/>
      <c r="CZI19" s="85"/>
      <c r="CZJ19" s="85"/>
      <c r="CZK19" s="85"/>
      <c r="CZL19" s="85"/>
      <c r="CZM19" s="85"/>
      <c r="CZN19" s="85"/>
      <c r="CZO19" s="85"/>
      <c r="CZP19" s="85"/>
      <c r="CZQ19" s="85"/>
      <c r="CZR19" s="85"/>
      <c r="CZS19" s="85"/>
      <c r="CZT19" s="85"/>
      <c r="CZU19" s="85"/>
      <c r="CZV19" s="85"/>
      <c r="CZW19" s="85"/>
      <c r="CZX19" s="85"/>
      <c r="CZY19" s="85"/>
      <c r="CZZ19" s="85"/>
      <c r="DAA19" s="85"/>
      <c r="DAB19" s="85"/>
      <c r="DAC19" s="85"/>
      <c r="DAD19" s="85"/>
      <c r="DAE19" s="85"/>
      <c r="DAF19" s="85"/>
      <c r="DAG19" s="85"/>
      <c r="DAH19" s="85"/>
      <c r="DAI19" s="85"/>
      <c r="DAJ19" s="85"/>
      <c r="DAK19" s="85"/>
      <c r="DAL19" s="85"/>
      <c r="DAM19" s="85"/>
      <c r="DAN19" s="85"/>
      <c r="DAO19" s="85"/>
      <c r="DAP19" s="85"/>
      <c r="DAQ19" s="85"/>
      <c r="DAR19" s="85"/>
      <c r="DAS19" s="85"/>
      <c r="DAT19" s="85"/>
      <c r="DAU19" s="85"/>
      <c r="DAV19" s="85"/>
      <c r="DAW19" s="85"/>
      <c r="DAX19" s="85"/>
      <c r="DAY19" s="85"/>
      <c r="DAZ19" s="85"/>
      <c r="DBA19" s="85"/>
      <c r="DBB19" s="85"/>
      <c r="DBC19" s="85"/>
      <c r="DBD19" s="85"/>
      <c r="DBE19" s="85"/>
      <c r="DBF19" s="85"/>
      <c r="DBG19" s="85"/>
      <c r="DBH19" s="85"/>
      <c r="DBI19" s="85"/>
      <c r="DBJ19" s="85"/>
      <c r="DBK19" s="85"/>
      <c r="DBL19" s="85"/>
      <c r="DBM19" s="85"/>
      <c r="DBN19" s="85"/>
      <c r="DBO19" s="85"/>
      <c r="DBP19" s="85"/>
      <c r="DBQ19" s="85"/>
      <c r="DBR19" s="85"/>
      <c r="DBS19" s="85"/>
      <c r="DBT19" s="85"/>
      <c r="DBU19" s="85"/>
      <c r="DBV19" s="85"/>
      <c r="DBW19" s="85"/>
      <c r="DBX19" s="85"/>
      <c r="DBY19" s="85"/>
      <c r="DBZ19" s="85"/>
      <c r="DCA19" s="85"/>
      <c r="DCB19" s="85"/>
      <c r="DCC19" s="85"/>
      <c r="DCD19" s="85"/>
      <c r="DCE19" s="85"/>
      <c r="DCF19" s="85"/>
      <c r="DCG19" s="85"/>
      <c r="DCH19" s="85"/>
      <c r="DCI19" s="85"/>
      <c r="DCJ19" s="85"/>
      <c r="DCK19" s="85"/>
      <c r="DCL19" s="85"/>
      <c r="DCM19" s="85"/>
      <c r="DCN19" s="85"/>
      <c r="DCO19" s="85"/>
      <c r="DCP19" s="85"/>
      <c r="DCQ19" s="85"/>
      <c r="DCR19" s="85"/>
      <c r="DCS19" s="85"/>
      <c r="DCT19" s="85"/>
      <c r="DCU19" s="85"/>
      <c r="DCV19" s="85"/>
      <c r="DCW19" s="85"/>
      <c r="DCX19" s="85"/>
      <c r="DCY19" s="85"/>
      <c r="DCZ19" s="85"/>
      <c r="DDA19" s="85"/>
      <c r="DDB19" s="85"/>
      <c r="DDC19" s="85"/>
      <c r="DDD19" s="85"/>
      <c r="DDE19" s="85"/>
      <c r="DDF19" s="85"/>
      <c r="DDG19" s="85"/>
      <c r="DDH19" s="85"/>
      <c r="DDI19" s="85"/>
      <c r="DDJ19" s="85"/>
      <c r="DDK19" s="85"/>
      <c r="DDL19" s="85"/>
      <c r="DDM19" s="85"/>
      <c r="DDN19" s="85"/>
      <c r="DDO19" s="85"/>
      <c r="DDP19" s="85"/>
      <c r="DDQ19" s="85"/>
      <c r="DDR19" s="85"/>
      <c r="DDS19" s="85"/>
      <c r="DDT19" s="85"/>
      <c r="DDU19" s="85"/>
      <c r="DDV19" s="85"/>
      <c r="DDW19" s="85"/>
      <c r="DDX19" s="85"/>
      <c r="DDY19" s="85"/>
      <c r="DDZ19" s="85"/>
      <c r="DEA19" s="85"/>
      <c r="DEB19" s="85"/>
      <c r="DEC19" s="85"/>
      <c r="DED19" s="85"/>
      <c r="DEE19" s="85"/>
      <c r="DEF19" s="85"/>
      <c r="DEG19" s="85"/>
      <c r="DEH19" s="85"/>
      <c r="DEI19" s="85"/>
      <c r="DEJ19" s="85"/>
      <c r="DEK19" s="85"/>
      <c r="DEL19" s="85"/>
      <c r="DEM19" s="85"/>
      <c r="DEN19" s="85"/>
      <c r="DEO19" s="85"/>
      <c r="DEP19" s="85"/>
      <c r="DEQ19" s="85"/>
      <c r="DER19" s="85"/>
      <c r="DES19" s="85"/>
      <c r="DET19" s="85"/>
      <c r="DEU19" s="85"/>
      <c r="DEV19" s="85"/>
      <c r="DEW19" s="85"/>
      <c r="DEX19" s="85"/>
      <c r="DEY19" s="85"/>
      <c r="DEZ19" s="85"/>
      <c r="DFA19" s="85"/>
      <c r="DFB19" s="85"/>
      <c r="DFC19" s="85"/>
      <c r="DFD19" s="85"/>
      <c r="DFE19" s="85"/>
      <c r="DFF19" s="85"/>
      <c r="DFG19" s="85"/>
      <c r="DFH19" s="85"/>
      <c r="DFI19" s="85"/>
      <c r="DFJ19" s="85"/>
      <c r="DFK19" s="85"/>
      <c r="DFL19" s="85"/>
      <c r="DFM19" s="85"/>
      <c r="DFN19" s="85"/>
      <c r="DFO19" s="85"/>
      <c r="DFP19" s="85"/>
      <c r="DFQ19" s="85"/>
      <c r="DFR19" s="85"/>
      <c r="DFS19" s="85"/>
      <c r="DFT19" s="85"/>
      <c r="DFU19" s="85"/>
      <c r="DFV19" s="85"/>
      <c r="DFW19" s="85"/>
      <c r="DFX19" s="85"/>
      <c r="DFY19" s="85"/>
      <c r="DFZ19" s="85"/>
      <c r="DGA19" s="85"/>
      <c r="DGB19" s="85"/>
      <c r="DGC19" s="85"/>
      <c r="DGD19" s="85"/>
      <c r="DGE19" s="85"/>
      <c r="DGF19" s="85"/>
      <c r="DGG19" s="85"/>
      <c r="DGH19" s="85"/>
      <c r="DGI19" s="85"/>
      <c r="DGJ19" s="85"/>
      <c r="DGK19" s="85"/>
      <c r="DGL19" s="85"/>
      <c r="DGM19" s="85"/>
      <c r="DGN19" s="85"/>
      <c r="DGO19" s="85"/>
      <c r="DGP19" s="85"/>
      <c r="DGQ19" s="85"/>
      <c r="DGR19" s="85"/>
      <c r="DGS19" s="85"/>
      <c r="DGT19" s="85"/>
      <c r="DGU19" s="85"/>
      <c r="DGV19" s="85"/>
      <c r="DGW19" s="85"/>
      <c r="DGX19" s="85"/>
      <c r="DGY19" s="85"/>
      <c r="DGZ19" s="85"/>
      <c r="DHA19" s="85"/>
      <c r="DHB19" s="85"/>
      <c r="DHC19" s="85"/>
      <c r="DHD19" s="85"/>
      <c r="DHE19" s="85"/>
      <c r="DHF19" s="85"/>
      <c r="DHG19" s="85"/>
      <c r="DHH19" s="85"/>
      <c r="DHI19" s="85"/>
      <c r="DHJ19" s="85"/>
      <c r="DHK19" s="85"/>
      <c r="DHL19" s="85"/>
      <c r="DHM19" s="85"/>
      <c r="DHN19" s="85"/>
      <c r="DHO19" s="85"/>
      <c r="DHP19" s="85"/>
      <c r="DHQ19" s="85"/>
      <c r="DHR19" s="85"/>
      <c r="DHS19" s="85"/>
      <c r="DHT19" s="85"/>
      <c r="DHU19" s="85"/>
      <c r="DHV19" s="85"/>
      <c r="DHW19" s="85"/>
      <c r="DHX19" s="85"/>
      <c r="DHY19" s="85"/>
      <c r="DHZ19" s="85"/>
      <c r="DIA19" s="85"/>
      <c r="DIB19" s="85"/>
      <c r="DIC19" s="85"/>
      <c r="DID19" s="85"/>
      <c r="DIE19" s="85"/>
      <c r="DIF19" s="85"/>
      <c r="DIG19" s="85"/>
      <c r="DIH19" s="85"/>
      <c r="DII19" s="85"/>
      <c r="DIJ19" s="85"/>
      <c r="DIK19" s="85"/>
      <c r="DIL19" s="85"/>
      <c r="DIM19" s="85"/>
      <c r="DIN19" s="85"/>
      <c r="DIO19" s="85"/>
      <c r="DIP19" s="85"/>
      <c r="DIQ19" s="85"/>
      <c r="DIR19" s="85"/>
      <c r="DIS19" s="85"/>
      <c r="DIT19" s="85"/>
      <c r="DIU19" s="85"/>
      <c r="DIV19" s="85"/>
      <c r="DIW19" s="85"/>
      <c r="DIX19" s="85"/>
      <c r="DIY19" s="85"/>
      <c r="DIZ19" s="85"/>
      <c r="DJA19" s="85"/>
      <c r="DJB19" s="85"/>
      <c r="DJC19" s="85"/>
      <c r="DJD19" s="85"/>
      <c r="DJE19" s="85"/>
      <c r="DJF19" s="85"/>
      <c r="DJG19" s="85"/>
      <c r="DJH19" s="85"/>
      <c r="DJI19" s="85"/>
      <c r="DJJ19" s="85"/>
      <c r="DJK19" s="85"/>
      <c r="DJL19" s="85"/>
      <c r="DJM19" s="85"/>
      <c r="DJN19" s="85"/>
      <c r="DJO19" s="85"/>
      <c r="DJP19" s="85"/>
      <c r="DJQ19" s="85"/>
      <c r="DJR19" s="85"/>
      <c r="DJS19" s="85"/>
      <c r="DJT19" s="85"/>
      <c r="DJU19" s="85"/>
      <c r="DJV19" s="85"/>
      <c r="DJW19" s="85"/>
      <c r="DJX19" s="85"/>
      <c r="DJY19" s="85"/>
      <c r="DJZ19" s="85"/>
      <c r="DKA19" s="85"/>
      <c r="DKB19" s="85"/>
      <c r="DKC19" s="85"/>
      <c r="DKD19" s="85"/>
      <c r="DKE19" s="85"/>
      <c r="DKF19" s="85"/>
      <c r="DKG19" s="85"/>
      <c r="DKH19" s="85"/>
      <c r="DKI19" s="85"/>
      <c r="DKJ19" s="85"/>
      <c r="DKK19" s="85"/>
      <c r="DKL19" s="85"/>
      <c r="DKM19" s="85"/>
      <c r="DKN19" s="85"/>
      <c r="DKO19" s="85"/>
      <c r="DKP19" s="85"/>
      <c r="DKQ19" s="85"/>
      <c r="DKR19" s="85"/>
      <c r="DKS19" s="85"/>
      <c r="DKT19" s="85"/>
      <c r="DKU19" s="85"/>
      <c r="DKV19" s="85"/>
      <c r="DKW19" s="85"/>
      <c r="DKX19" s="85"/>
      <c r="DKY19" s="85"/>
      <c r="DKZ19" s="85"/>
      <c r="DLA19" s="85"/>
      <c r="DLB19" s="85"/>
      <c r="DLC19" s="85"/>
      <c r="DLD19" s="85"/>
      <c r="DLE19" s="85"/>
      <c r="DLF19" s="85"/>
      <c r="DLG19" s="85"/>
      <c r="DLH19" s="85"/>
      <c r="DLI19" s="85"/>
      <c r="DLJ19" s="85"/>
      <c r="DLK19" s="85"/>
      <c r="DLL19" s="85"/>
      <c r="DLM19" s="85"/>
      <c r="DLN19" s="85"/>
      <c r="DLO19" s="85"/>
      <c r="DLP19" s="85"/>
      <c r="DLQ19" s="85"/>
      <c r="DLR19" s="85"/>
      <c r="DLS19" s="85"/>
      <c r="DLT19" s="85"/>
      <c r="DLU19" s="85"/>
      <c r="DLV19" s="85"/>
      <c r="DLW19" s="85"/>
      <c r="DLX19" s="85"/>
      <c r="DLY19" s="85"/>
      <c r="DLZ19" s="85"/>
      <c r="DMA19" s="85"/>
      <c r="DMB19" s="85"/>
      <c r="DMC19" s="85"/>
      <c r="DMD19" s="85"/>
      <c r="DME19" s="85"/>
      <c r="DMF19" s="85"/>
      <c r="DMG19" s="85"/>
      <c r="DMH19" s="85"/>
      <c r="DMI19" s="85"/>
      <c r="DMJ19" s="85"/>
      <c r="DMK19" s="85"/>
      <c r="DML19" s="85"/>
      <c r="DMM19" s="85"/>
      <c r="DMN19" s="85"/>
      <c r="DMO19" s="85"/>
      <c r="DMP19" s="85"/>
      <c r="DMQ19" s="85"/>
      <c r="DMR19" s="85"/>
      <c r="DMS19" s="85"/>
      <c r="DMT19" s="85"/>
      <c r="DMU19" s="85"/>
      <c r="DMV19" s="85"/>
      <c r="DMW19" s="85"/>
      <c r="DMX19" s="85"/>
      <c r="DMY19" s="85"/>
      <c r="DMZ19" s="85"/>
      <c r="DNA19" s="85"/>
      <c r="DNB19" s="85"/>
      <c r="DNC19" s="85"/>
      <c r="DND19" s="85"/>
      <c r="DNE19" s="85"/>
      <c r="DNF19" s="85"/>
      <c r="DNG19" s="85"/>
      <c r="DNH19" s="85"/>
      <c r="DNI19" s="85"/>
      <c r="DNJ19" s="85"/>
      <c r="DNK19" s="85"/>
      <c r="DNL19" s="85"/>
      <c r="DNM19" s="85"/>
      <c r="DNN19" s="85"/>
      <c r="DNO19" s="85"/>
      <c r="DNP19" s="85"/>
      <c r="DNQ19" s="85"/>
      <c r="DNR19" s="85"/>
      <c r="DNS19" s="85"/>
      <c r="DNT19" s="85"/>
      <c r="DNU19" s="85"/>
      <c r="DNV19" s="85"/>
      <c r="DNW19" s="85"/>
      <c r="DNX19" s="85"/>
      <c r="DNY19" s="85"/>
      <c r="DNZ19" s="85"/>
      <c r="DOA19" s="85"/>
      <c r="DOB19" s="85"/>
      <c r="DOC19" s="85"/>
      <c r="DOD19" s="85"/>
      <c r="DOE19" s="85"/>
      <c r="DOF19" s="85"/>
      <c r="DOG19" s="85"/>
      <c r="DOH19" s="85"/>
      <c r="DOI19" s="85"/>
      <c r="DOJ19" s="85"/>
      <c r="DOK19" s="85"/>
      <c r="DOL19" s="85"/>
      <c r="DOM19" s="85"/>
      <c r="DON19" s="85"/>
      <c r="DOO19" s="85"/>
      <c r="DOP19" s="85"/>
      <c r="DOQ19" s="85"/>
      <c r="DOR19" s="85"/>
      <c r="DOS19" s="85"/>
      <c r="DOT19" s="85"/>
      <c r="DOU19" s="85"/>
      <c r="DOV19" s="85"/>
      <c r="DOW19" s="85"/>
      <c r="DOX19" s="85"/>
      <c r="DOY19" s="85"/>
      <c r="DOZ19" s="85"/>
      <c r="DPA19" s="85"/>
      <c r="DPB19" s="85"/>
      <c r="DPC19" s="85"/>
      <c r="DPD19" s="85"/>
      <c r="DPE19" s="85"/>
      <c r="DPF19" s="85"/>
      <c r="DPG19" s="85"/>
      <c r="DPH19" s="85"/>
      <c r="DPI19" s="85"/>
      <c r="DPJ19" s="85"/>
      <c r="DPK19" s="85"/>
      <c r="DPL19" s="85"/>
      <c r="DPM19" s="85"/>
      <c r="DPN19" s="85"/>
      <c r="DPO19" s="85"/>
      <c r="DPP19" s="85"/>
      <c r="DPQ19" s="85"/>
      <c r="DPR19" s="85"/>
      <c r="DPS19" s="85"/>
      <c r="DPT19" s="85"/>
      <c r="DPU19" s="85"/>
      <c r="DPV19" s="85"/>
      <c r="DPW19" s="85"/>
      <c r="DPX19" s="85"/>
      <c r="DPY19" s="85"/>
      <c r="DPZ19" s="85"/>
      <c r="DQA19" s="85"/>
      <c r="DQB19" s="85"/>
      <c r="DQC19" s="85"/>
      <c r="DQD19" s="85"/>
      <c r="DQE19" s="85"/>
      <c r="DQF19" s="85"/>
      <c r="DQG19" s="85"/>
      <c r="DQH19" s="85"/>
      <c r="DQI19" s="85"/>
      <c r="DQJ19" s="85"/>
      <c r="DQK19" s="85"/>
      <c r="DQL19" s="85"/>
      <c r="DQM19" s="85"/>
      <c r="DQN19" s="85"/>
      <c r="DQO19" s="85"/>
      <c r="DQP19" s="85"/>
      <c r="DQQ19" s="85"/>
      <c r="DQR19" s="85"/>
      <c r="DQS19" s="85"/>
      <c r="DQT19" s="85"/>
      <c r="DQU19" s="85"/>
      <c r="DQV19" s="85"/>
      <c r="DQW19" s="85"/>
      <c r="DQX19" s="85"/>
      <c r="DQY19" s="85"/>
      <c r="DQZ19" s="85"/>
      <c r="DRA19" s="85"/>
      <c r="DRB19" s="85"/>
      <c r="DRC19" s="85"/>
      <c r="DRD19" s="85"/>
      <c r="DRE19" s="85"/>
      <c r="DRF19" s="85"/>
      <c r="DRG19" s="85"/>
      <c r="DRH19" s="85"/>
      <c r="DRI19" s="85"/>
      <c r="DRJ19" s="85"/>
      <c r="DRK19" s="85"/>
      <c r="DRL19" s="85"/>
      <c r="DRM19" s="85"/>
      <c r="DRN19" s="85"/>
      <c r="DRO19" s="85"/>
      <c r="DRP19" s="85"/>
      <c r="DRQ19" s="85"/>
      <c r="DRR19" s="85"/>
      <c r="DRS19" s="85"/>
      <c r="DRT19" s="85"/>
      <c r="DRU19" s="85"/>
      <c r="DRV19" s="85"/>
      <c r="DRW19" s="85"/>
      <c r="DRX19" s="85"/>
      <c r="DRY19" s="85"/>
      <c r="DRZ19" s="85"/>
      <c r="DSA19" s="85"/>
      <c r="DSB19" s="85"/>
      <c r="DSC19" s="85"/>
      <c r="DSD19" s="85"/>
      <c r="DSE19" s="85"/>
      <c r="DSF19" s="85"/>
      <c r="DSG19" s="85"/>
      <c r="DSH19" s="85"/>
      <c r="DSI19" s="85"/>
      <c r="DSJ19" s="85"/>
      <c r="DSK19" s="85"/>
      <c r="DSL19" s="85"/>
      <c r="DSM19" s="85"/>
      <c r="DSN19" s="85"/>
      <c r="DSO19" s="85"/>
      <c r="DSP19" s="85"/>
      <c r="DSQ19" s="85"/>
      <c r="DSR19" s="85"/>
      <c r="DSS19" s="85"/>
      <c r="DST19" s="85"/>
      <c r="DSU19" s="85"/>
      <c r="DSV19" s="85"/>
      <c r="DSW19" s="85"/>
      <c r="DSX19" s="85"/>
      <c r="DSY19" s="85"/>
      <c r="DSZ19" s="85"/>
      <c r="DTA19" s="85"/>
      <c r="DTB19" s="85"/>
      <c r="DTC19" s="85"/>
      <c r="DTD19" s="85"/>
      <c r="DTE19" s="85"/>
      <c r="DTF19" s="85"/>
      <c r="DTG19" s="85"/>
      <c r="DTH19" s="85"/>
      <c r="DTI19" s="85"/>
      <c r="DTJ19" s="85"/>
      <c r="DTK19" s="85"/>
      <c r="DTL19" s="85"/>
      <c r="DTM19" s="85"/>
      <c r="DTN19" s="85"/>
      <c r="DTO19" s="85"/>
      <c r="DTP19" s="85"/>
      <c r="DTQ19" s="85"/>
      <c r="DTR19" s="85"/>
      <c r="DTS19" s="85"/>
      <c r="DTT19" s="85"/>
      <c r="DTU19" s="85"/>
      <c r="DTV19" s="85"/>
      <c r="DTW19" s="85"/>
      <c r="DTX19" s="85"/>
      <c r="DTY19" s="85"/>
      <c r="DTZ19" s="85"/>
      <c r="DUA19" s="85"/>
      <c r="DUB19" s="85"/>
      <c r="DUC19" s="85"/>
      <c r="DUD19" s="85"/>
      <c r="DUE19" s="85"/>
      <c r="DUF19" s="85"/>
      <c r="DUG19" s="85"/>
      <c r="DUH19" s="85"/>
      <c r="DUI19" s="85"/>
      <c r="DUJ19" s="85"/>
      <c r="DUK19" s="85"/>
      <c r="DUL19" s="85"/>
      <c r="DUM19" s="85"/>
      <c r="DUN19" s="85"/>
      <c r="DUO19" s="85"/>
      <c r="DUP19" s="85"/>
      <c r="DUQ19" s="85"/>
      <c r="DUR19" s="85"/>
      <c r="DUS19" s="85"/>
      <c r="DUT19" s="85"/>
      <c r="DUU19" s="85"/>
      <c r="DUV19" s="85"/>
      <c r="DUW19" s="85"/>
      <c r="DUX19" s="85"/>
      <c r="DUY19" s="85"/>
      <c r="DUZ19" s="85"/>
      <c r="DVA19" s="85"/>
      <c r="DVB19" s="85"/>
      <c r="DVC19" s="85"/>
      <c r="DVD19" s="85"/>
      <c r="DVE19" s="85"/>
      <c r="DVF19" s="85"/>
      <c r="DVG19" s="85"/>
      <c r="DVH19" s="85"/>
      <c r="DVI19" s="85"/>
      <c r="DVJ19" s="85"/>
      <c r="DVK19" s="85"/>
      <c r="DVL19" s="85"/>
      <c r="DVM19" s="85"/>
      <c r="DVN19" s="85"/>
      <c r="DVO19" s="85"/>
      <c r="DVP19" s="85"/>
      <c r="DVQ19" s="85"/>
      <c r="DVR19" s="85"/>
      <c r="DVS19" s="85"/>
      <c r="DVT19" s="85"/>
      <c r="DVU19" s="85"/>
      <c r="DVV19" s="85"/>
      <c r="DVW19" s="85"/>
      <c r="DVX19" s="85"/>
      <c r="DVY19" s="85"/>
      <c r="DVZ19" s="85"/>
      <c r="DWA19" s="85"/>
      <c r="DWB19" s="85"/>
      <c r="DWC19" s="85"/>
      <c r="DWD19" s="85"/>
      <c r="DWE19" s="85"/>
      <c r="DWF19" s="85"/>
      <c r="DWG19" s="85"/>
      <c r="DWH19" s="85"/>
      <c r="DWI19" s="85"/>
      <c r="DWJ19" s="85"/>
      <c r="DWK19" s="85"/>
      <c r="DWL19" s="85"/>
      <c r="DWM19" s="85"/>
      <c r="DWN19" s="85"/>
      <c r="DWO19" s="85"/>
      <c r="DWP19" s="85"/>
      <c r="DWQ19" s="85"/>
      <c r="DWR19" s="85"/>
      <c r="DWS19" s="85"/>
      <c r="DWT19" s="85"/>
      <c r="DWU19" s="85"/>
      <c r="DWV19" s="85"/>
      <c r="DWW19" s="85"/>
      <c r="DWX19" s="85"/>
      <c r="DWY19" s="85"/>
      <c r="DWZ19" s="85"/>
      <c r="DXA19" s="85"/>
      <c r="DXB19" s="85"/>
      <c r="DXC19" s="85"/>
      <c r="DXD19" s="85"/>
      <c r="DXE19" s="85"/>
      <c r="DXF19" s="85"/>
      <c r="DXG19" s="85"/>
      <c r="DXH19" s="85"/>
      <c r="DXI19" s="85"/>
      <c r="DXJ19" s="85"/>
      <c r="DXK19" s="85"/>
      <c r="DXL19" s="85"/>
      <c r="DXM19" s="85"/>
      <c r="DXN19" s="85"/>
      <c r="DXO19" s="85"/>
      <c r="DXP19" s="85"/>
      <c r="DXQ19" s="85"/>
      <c r="DXR19" s="85"/>
      <c r="DXS19" s="85"/>
      <c r="DXT19" s="85"/>
      <c r="DXU19" s="85"/>
      <c r="DXV19" s="85"/>
      <c r="DXW19" s="85"/>
      <c r="DXX19" s="85"/>
      <c r="DXY19" s="85"/>
      <c r="DXZ19" s="85"/>
      <c r="DYA19" s="85"/>
      <c r="DYB19" s="85"/>
      <c r="DYC19" s="85"/>
      <c r="DYD19" s="85"/>
      <c r="DYE19" s="85"/>
      <c r="DYF19" s="85"/>
      <c r="DYG19" s="85"/>
      <c r="DYH19" s="85"/>
      <c r="DYI19" s="85"/>
      <c r="DYJ19" s="85"/>
      <c r="DYK19" s="85"/>
      <c r="DYL19" s="85"/>
      <c r="DYM19" s="85"/>
      <c r="DYN19" s="85"/>
      <c r="DYO19" s="85"/>
      <c r="DYP19" s="85"/>
      <c r="DYQ19" s="85"/>
      <c r="DYR19" s="85"/>
      <c r="DYS19" s="85"/>
      <c r="DYT19" s="85"/>
      <c r="DYU19" s="85"/>
      <c r="DYV19" s="85"/>
      <c r="DYW19" s="85"/>
      <c r="DYX19" s="85"/>
      <c r="DYY19" s="85"/>
      <c r="DYZ19" s="85"/>
      <c r="DZA19" s="85"/>
      <c r="DZB19" s="85"/>
      <c r="DZC19" s="85"/>
      <c r="DZD19" s="85"/>
      <c r="DZE19" s="85"/>
      <c r="DZF19" s="85"/>
      <c r="DZG19" s="85"/>
      <c r="DZH19" s="85"/>
      <c r="DZI19" s="85"/>
      <c r="DZJ19" s="85"/>
      <c r="DZK19" s="85"/>
      <c r="DZL19" s="85"/>
      <c r="DZM19" s="85"/>
      <c r="DZN19" s="85"/>
      <c r="DZO19" s="85"/>
      <c r="DZP19" s="85"/>
      <c r="DZQ19" s="85"/>
      <c r="DZR19" s="85"/>
      <c r="DZS19" s="85"/>
      <c r="DZT19" s="85"/>
      <c r="DZU19" s="85"/>
      <c r="DZV19" s="85"/>
      <c r="DZW19" s="85"/>
      <c r="DZX19" s="85"/>
      <c r="DZY19" s="85"/>
      <c r="DZZ19" s="85"/>
      <c r="EAA19" s="85"/>
      <c r="EAB19" s="85"/>
      <c r="EAC19" s="85"/>
      <c r="EAD19" s="85"/>
      <c r="EAE19" s="85"/>
      <c r="EAF19" s="85"/>
      <c r="EAG19" s="85"/>
      <c r="EAH19" s="85"/>
      <c r="EAI19" s="85"/>
      <c r="EAJ19" s="85"/>
      <c r="EAK19" s="85"/>
      <c r="EAL19" s="85"/>
      <c r="EAM19" s="85"/>
      <c r="EAN19" s="85"/>
      <c r="EAO19" s="85"/>
      <c r="EAP19" s="85"/>
      <c r="EAQ19" s="85"/>
      <c r="EAR19" s="85"/>
      <c r="EAS19" s="85"/>
      <c r="EAT19" s="85"/>
      <c r="EAU19" s="85"/>
      <c r="EAV19" s="85"/>
      <c r="EAW19" s="85"/>
      <c r="EAX19" s="85"/>
      <c r="EAY19" s="85"/>
      <c r="EAZ19" s="85"/>
      <c r="EBA19" s="85"/>
      <c r="EBB19" s="85"/>
      <c r="EBC19" s="85"/>
      <c r="EBD19" s="85"/>
      <c r="EBE19" s="85"/>
      <c r="EBF19" s="85"/>
      <c r="EBG19" s="85"/>
      <c r="EBH19" s="85"/>
      <c r="EBI19" s="85"/>
      <c r="EBJ19" s="85"/>
      <c r="EBK19" s="85"/>
      <c r="EBL19" s="85"/>
      <c r="EBM19" s="85"/>
      <c r="EBN19" s="85"/>
      <c r="EBO19" s="85"/>
      <c r="EBP19" s="85"/>
      <c r="EBQ19" s="85"/>
      <c r="EBR19" s="85"/>
      <c r="EBS19" s="85"/>
      <c r="EBT19" s="85"/>
      <c r="EBU19" s="85"/>
      <c r="EBV19" s="85"/>
      <c r="EBW19" s="85"/>
      <c r="EBX19" s="85"/>
      <c r="EBY19" s="85"/>
      <c r="EBZ19" s="85"/>
      <c r="ECA19" s="85"/>
      <c r="ECB19" s="85"/>
      <c r="ECC19" s="85"/>
      <c r="ECD19" s="85"/>
      <c r="ECE19" s="85"/>
      <c r="ECF19" s="85"/>
      <c r="ECG19" s="85"/>
      <c r="ECH19" s="85"/>
      <c r="ECI19" s="85"/>
      <c r="ECJ19" s="85"/>
      <c r="ECK19" s="85"/>
      <c r="ECL19" s="85"/>
      <c r="ECM19" s="85"/>
      <c r="ECN19" s="85"/>
      <c r="ECO19" s="85"/>
      <c r="ECP19" s="85"/>
      <c r="ECQ19" s="85"/>
      <c r="ECR19" s="85"/>
      <c r="ECS19" s="85"/>
      <c r="ECT19" s="85"/>
      <c r="ECU19" s="85"/>
      <c r="ECV19" s="85"/>
      <c r="ECW19" s="85"/>
      <c r="ECX19" s="85"/>
      <c r="ECY19" s="85"/>
      <c r="ECZ19" s="85"/>
      <c r="EDA19" s="85"/>
      <c r="EDB19" s="85"/>
      <c r="EDC19" s="85"/>
      <c r="EDD19" s="85"/>
      <c r="EDE19" s="85"/>
      <c r="EDF19" s="85"/>
      <c r="EDG19" s="85"/>
      <c r="EDH19" s="85"/>
      <c r="EDI19" s="85"/>
      <c r="EDJ19" s="85"/>
      <c r="EDK19" s="85"/>
      <c r="EDL19" s="85"/>
      <c r="EDM19" s="85"/>
      <c r="EDN19" s="85"/>
      <c r="EDO19" s="85"/>
      <c r="EDP19" s="85"/>
      <c r="EDQ19" s="85"/>
      <c r="EDR19" s="85"/>
      <c r="EDS19" s="85"/>
      <c r="EDT19" s="85"/>
      <c r="EDU19" s="85"/>
      <c r="EDV19" s="85"/>
      <c r="EDW19" s="85"/>
      <c r="EDX19" s="85"/>
      <c r="EDY19" s="85"/>
      <c r="EDZ19" s="85"/>
      <c r="EEA19" s="85"/>
      <c r="EEB19" s="85"/>
      <c r="EEC19" s="85"/>
      <c r="EED19" s="85"/>
      <c r="EEE19" s="85"/>
      <c r="EEF19" s="85"/>
      <c r="EEG19" s="85"/>
      <c r="EEH19" s="85"/>
      <c r="EEI19" s="85"/>
      <c r="EEJ19" s="85"/>
      <c r="EEK19" s="85"/>
      <c r="EEL19" s="85"/>
      <c r="EEM19" s="85"/>
      <c r="EEN19" s="85"/>
      <c r="EEO19" s="85"/>
      <c r="EEP19" s="85"/>
      <c r="EEQ19" s="85"/>
      <c r="EER19" s="85"/>
      <c r="EES19" s="85"/>
      <c r="EET19" s="85"/>
      <c r="EEU19" s="85"/>
      <c r="EEV19" s="85"/>
      <c r="EEW19" s="85"/>
      <c r="EEX19" s="85"/>
      <c r="EEY19" s="85"/>
      <c r="EEZ19" s="85"/>
      <c r="EFA19" s="85"/>
      <c r="EFB19" s="85"/>
      <c r="EFC19" s="85"/>
      <c r="EFD19" s="85"/>
      <c r="EFE19" s="85"/>
      <c r="EFF19" s="85"/>
      <c r="EFG19" s="85"/>
      <c r="EFH19" s="85"/>
      <c r="EFI19" s="85"/>
      <c r="EFJ19" s="85"/>
      <c r="EFK19" s="85"/>
      <c r="EFL19" s="85"/>
      <c r="EFM19" s="85"/>
      <c r="EFN19" s="85"/>
      <c r="EFO19" s="85"/>
      <c r="EFP19" s="85"/>
      <c r="EFQ19" s="85"/>
      <c r="EFR19" s="85"/>
      <c r="EFS19" s="85"/>
      <c r="EFT19" s="85"/>
      <c r="EFU19" s="85"/>
      <c r="EFV19" s="85"/>
      <c r="EFW19" s="85"/>
      <c r="EFX19" s="85"/>
      <c r="EFY19" s="85"/>
      <c r="EFZ19" s="85"/>
      <c r="EGA19" s="85"/>
      <c r="EGB19" s="85"/>
      <c r="EGC19" s="85"/>
      <c r="EGD19" s="85"/>
      <c r="EGE19" s="85"/>
      <c r="EGF19" s="85"/>
      <c r="EGG19" s="85"/>
      <c r="EGH19" s="85"/>
      <c r="EGI19" s="85"/>
      <c r="EGJ19" s="85"/>
      <c r="EGK19" s="85"/>
      <c r="EGL19" s="85"/>
      <c r="EGM19" s="85"/>
      <c r="EGN19" s="85"/>
      <c r="EGO19" s="85"/>
      <c r="EGP19" s="85"/>
      <c r="EGQ19" s="85"/>
      <c r="EGR19" s="85"/>
      <c r="EGS19" s="85"/>
      <c r="EGT19" s="85"/>
      <c r="EGU19" s="85"/>
      <c r="EGV19" s="85"/>
      <c r="EGW19" s="85"/>
      <c r="EGX19" s="85"/>
      <c r="EGY19" s="85"/>
      <c r="EGZ19" s="85"/>
      <c r="EHA19" s="85"/>
      <c r="EHB19" s="85"/>
      <c r="EHC19" s="85"/>
      <c r="EHD19" s="85"/>
      <c r="EHE19" s="85"/>
      <c r="EHF19" s="85"/>
      <c r="EHG19" s="85"/>
      <c r="EHH19" s="85"/>
      <c r="EHI19" s="85"/>
      <c r="EHJ19" s="85"/>
      <c r="EHK19" s="85"/>
      <c r="EHL19" s="85"/>
      <c r="EHM19" s="85"/>
      <c r="EHN19" s="85"/>
      <c r="EHO19" s="85"/>
      <c r="EHP19" s="85"/>
      <c r="EHQ19" s="85"/>
      <c r="EHR19" s="85"/>
      <c r="EHS19" s="85"/>
      <c r="EHT19" s="85"/>
      <c r="EHU19" s="85"/>
      <c r="EHV19" s="85"/>
      <c r="EHW19" s="85"/>
      <c r="EHX19" s="85"/>
      <c r="EHY19" s="85"/>
      <c r="EHZ19" s="85"/>
      <c r="EIA19" s="85"/>
      <c r="EIB19" s="85"/>
      <c r="EIC19" s="85"/>
      <c r="EID19" s="85"/>
      <c r="EIE19" s="85"/>
      <c r="EIF19" s="85"/>
      <c r="EIG19" s="85"/>
      <c r="EIH19" s="85"/>
      <c r="EII19" s="85"/>
      <c r="EIJ19" s="85"/>
      <c r="EIK19" s="85"/>
      <c r="EIL19" s="85"/>
      <c r="EIM19" s="85"/>
      <c r="EIN19" s="85"/>
      <c r="EIO19" s="85"/>
      <c r="EIP19" s="85"/>
      <c r="EIQ19" s="85"/>
      <c r="EIR19" s="85"/>
      <c r="EIS19" s="85"/>
      <c r="EIT19" s="85"/>
      <c r="EIU19" s="85"/>
      <c r="EIV19" s="85"/>
      <c r="EIW19" s="85"/>
      <c r="EIX19" s="85"/>
      <c r="EIY19" s="85"/>
      <c r="EIZ19" s="85"/>
      <c r="EJA19" s="85"/>
      <c r="EJB19" s="85"/>
      <c r="EJC19" s="85"/>
      <c r="EJD19" s="85"/>
      <c r="EJE19" s="85"/>
      <c r="EJF19" s="85"/>
      <c r="EJG19" s="85"/>
      <c r="EJH19" s="85"/>
      <c r="EJI19" s="85"/>
      <c r="EJJ19" s="85"/>
      <c r="EJK19" s="85"/>
      <c r="EJL19" s="85"/>
      <c r="EJM19" s="85"/>
      <c r="EJN19" s="85"/>
      <c r="EJO19" s="85"/>
      <c r="EJP19" s="85"/>
      <c r="EJQ19" s="85"/>
      <c r="EJR19" s="85"/>
      <c r="EJS19" s="85"/>
      <c r="EJT19" s="85"/>
      <c r="EJU19" s="85"/>
      <c r="EJV19" s="85"/>
      <c r="EJW19" s="85"/>
      <c r="EJX19" s="85"/>
      <c r="EJY19" s="85"/>
      <c r="EJZ19" s="85"/>
      <c r="EKA19" s="85"/>
      <c r="EKB19" s="85"/>
      <c r="EKC19" s="85"/>
      <c r="EKD19" s="85"/>
      <c r="EKE19" s="85"/>
      <c r="EKF19" s="85"/>
      <c r="EKG19" s="85"/>
      <c r="EKH19" s="85"/>
      <c r="EKI19" s="85"/>
      <c r="EKJ19" s="85"/>
      <c r="EKK19" s="85"/>
      <c r="EKL19" s="85"/>
      <c r="EKM19" s="85"/>
      <c r="EKN19" s="85"/>
      <c r="EKO19" s="85"/>
      <c r="EKP19" s="85"/>
      <c r="EKQ19" s="85"/>
      <c r="EKR19" s="85"/>
      <c r="EKS19" s="85"/>
      <c r="EKT19" s="85"/>
      <c r="EKU19" s="85"/>
      <c r="EKV19" s="85"/>
      <c r="EKW19" s="85"/>
      <c r="EKX19" s="85"/>
      <c r="EKY19" s="85"/>
      <c r="EKZ19" s="85"/>
      <c r="ELA19" s="85"/>
      <c r="ELB19" s="85"/>
      <c r="ELC19" s="85"/>
      <c r="ELD19" s="85"/>
      <c r="ELE19" s="85"/>
      <c r="ELF19" s="85"/>
      <c r="ELG19" s="85"/>
      <c r="ELH19" s="85"/>
      <c r="ELI19" s="85"/>
      <c r="ELJ19" s="85"/>
      <c r="ELK19" s="85"/>
      <c r="ELL19" s="85"/>
      <c r="ELM19" s="85"/>
      <c r="ELN19" s="85"/>
      <c r="ELO19" s="85"/>
      <c r="ELP19" s="85"/>
      <c r="ELQ19" s="85"/>
      <c r="ELR19" s="85"/>
      <c r="ELS19" s="85"/>
      <c r="ELT19" s="85"/>
      <c r="ELU19" s="85"/>
      <c r="ELV19" s="85"/>
      <c r="ELW19" s="85"/>
      <c r="ELX19" s="85"/>
      <c r="ELY19" s="85"/>
      <c r="ELZ19" s="85"/>
      <c r="EMA19" s="85"/>
      <c r="EMB19" s="85"/>
      <c r="EMC19" s="85"/>
      <c r="EMD19" s="85"/>
      <c r="EME19" s="85"/>
      <c r="EMF19" s="85"/>
      <c r="EMG19" s="85"/>
      <c r="EMH19" s="85"/>
      <c r="EMI19" s="85"/>
      <c r="EMJ19" s="85"/>
      <c r="EMK19" s="85"/>
      <c r="EML19" s="85"/>
      <c r="EMM19" s="85"/>
      <c r="EMN19" s="85"/>
      <c r="EMO19" s="85"/>
      <c r="EMP19" s="85"/>
      <c r="EMQ19" s="85"/>
      <c r="EMR19" s="85"/>
      <c r="EMS19" s="85"/>
      <c r="EMT19" s="85"/>
      <c r="EMU19" s="85"/>
      <c r="EMV19" s="85"/>
      <c r="EMW19" s="85"/>
      <c r="EMX19" s="85"/>
      <c r="EMY19" s="85"/>
      <c r="EMZ19" s="85"/>
      <c r="ENA19" s="85"/>
      <c r="ENB19" s="85"/>
      <c r="ENC19" s="85"/>
      <c r="END19" s="85"/>
      <c r="ENE19" s="85"/>
      <c r="ENF19" s="85"/>
      <c r="ENG19" s="85"/>
      <c r="ENH19" s="85"/>
      <c r="ENI19" s="85"/>
      <c r="ENJ19" s="85"/>
      <c r="ENK19" s="85"/>
      <c r="ENL19" s="85"/>
      <c r="ENM19" s="85"/>
      <c r="ENN19" s="85"/>
      <c r="ENO19" s="85"/>
      <c r="ENP19" s="85"/>
      <c r="ENQ19" s="85"/>
      <c r="ENR19" s="85"/>
      <c r="ENS19" s="85"/>
      <c r="ENT19" s="85"/>
      <c r="ENU19" s="85"/>
      <c r="ENV19" s="85"/>
      <c r="ENW19" s="85"/>
      <c r="ENX19" s="85"/>
      <c r="ENY19" s="85"/>
      <c r="ENZ19" s="85"/>
      <c r="EOA19" s="85"/>
      <c r="EOB19" s="85"/>
      <c r="EOC19" s="85"/>
      <c r="EOD19" s="85"/>
      <c r="EOE19" s="85"/>
      <c r="EOF19" s="85"/>
      <c r="EOG19" s="85"/>
      <c r="EOH19" s="85"/>
      <c r="EOI19" s="85"/>
      <c r="EOJ19" s="85"/>
      <c r="EOK19" s="85"/>
      <c r="EOL19" s="85"/>
      <c r="EOM19" s="85"/>
      <c r="EON19" s="85"/>
      <c r="EOO19" s="85"/>
      <c r="EOP19" s="85"/>
      <c r="EOQ19" s="85"/>
      <c r="EOR19" s="85"/>
      <c r="EOS19" s="85"/>
      <c r="EOT19" s="85"/>
      <c r="EOU19" s="85"/>
      <c r="EOV19" s="85"/>
      <c r="EOW19" s="85"/>
      <c r="EOX19" s="85"/>
      <c r="EOY19" s="85"/>
      <c r="EOZ19" s="85"/>
      <c r="EPA19" s="85"/>
      <c r="EPB19" s="85"/>
      <c r="EPC19" s="85"/>
      <c r="EPD19" s="85"/>
      <c r="EPE19" s="85"/>
      <c r="EPF19" s="85"/>
      <c r="EPG19" s="85"/>
      <c r="EPH19" s="85"/>
      <c r="EPI19" s="85"/>
      <c r="EPJ19" s="85"/>
      <c r="EPK19" s="85"/>
      <c r="EPL19" s="85"/>
      <c r="EPM19" s="85"/>
      <c r="EPN19" s="85"/>
      <c r="EPO19" s="85"/>
      <c r="EPP19" s="85"/>
      <c r="EPQ19" s="85"/>
      <c r="EPR19" s="85"/>
      <c r="EPS19" s="85"/>
      <c r="EPT19" s="85"/>
      <c r="EPU19" s="85"/>
      <c r="EPV19" s="85"/>
      <c r="EPW19" s="85"/>
      <c r="EPX19" s="85"/>
      <c r="EPY19" s="85"/>
      <c r="EPZ19" s="85"/>
      <c r="EQA19" s="85"/>
      <c r="EQB19" s="85"/>
      <c r="EQC19" s="85"/>
      <c r="EQD19" s="85"/>
      <c r="EQE19" s="85"/>
      <c r="EQF19" s="85"/>
      <c r="EQG19" s="85"/>
      <c r="EQH19" s="85"/>
      <c r="EQI19" s="85"/>
      <c r="EQJ19" s="85"/>
      <c r="EQK19" s="85"/>
      <c r="EQL19" s="85"/>
      <c r="EQM19" s="85"/>
      <c r="EQN19" s="85"/>
      <c r="EQO19" s="85"/>
      <c r="EQP19" s="85"/>
      <c r="EQQ19" s="85"/>
      <c r="EQR19" s="85"/>
      <c r="EQS19" s="85"/>
      <c r="EQT19" s="85"/>
      <c r="EQU19" s="85"/>
      <c r="EQV19" s="85"/>
      <c r="EQW19" s="85"/>
      <c r="EQX19" s="85"/>
      <c r="EQY19" s="85"/>
      <c r="EQZ19" s="85"/>
      <c r="ERA19" s="85"/>
      <c r="ERB19" s="85"/>
      <c r="ERC19" s="85"/>
      <c r="ERD19" s="85"/>
      <c r="ERE19" s="85"/>
      <c r="ERF19" s="85"/>
      <c r="ERG19" s="85"/>
      <c r="ERH19" s="85"/>
      <c r="ERI19" s="85"/>
      <c r="ERJ19" s="85"/>
      <c r="ERK19" s="85"/>
      <c r="ERL19" s="85"/>
      <c r="ERM19" s="85"/>
      <c r="ERN19" s="85"/>
      <c r="ERO19" s="85"/>
      <c r="ERP19" s="85"/>
      <c r="ERQ19" s="85"/>
      <c r="ERR19" s="85"/>
      <c r="ERS19" s="85"/>
      <c r="ERT19" s="85"/>
      <c r="ERU19" s="85"/>
      <c r="ERV19" s="85"/>
      <c r="ERW19" s="85"/>
      <c r="ERX19" s="85"/>
      <c r="ERY19" s="85"/>
      <c r="ERZ19" s="85"/>
      <c r="ESA19" s="85"/>
      <c r="ESB19" s="85"/>
      <c r="ESC19" s="85"/>
      <c r="ESD19" s="85"/>
      <c r="ESE19" s="85"/>
      <c r="ESF19" s="85"/>
      <c r="ESG19" s="85"/>
      <c r="ESH19" s="85"/>
      <c r="ESI19" s="85"/>
      <c r="ESJ19" s="85"/>
      <c r="ESK19" s="85"/>
      <c r="ESL19" s="85"/>
      <c r="ESM19" s="85"/>
      <c r="ESN19" s="85"/>
      <c r="ESO19" s="85"/>
      <c r="ESP19" s="85"/>
      <c r="ESQ19" s="85"/>
      <c r="ESR19" s="85"/>
      <c r="ESS19" s="85"/>
      <c r="EST19" s="85"/>
      <c r="ESU19" s="85"/>
      <c r="ESV19" s="85"/>
      <c r="ESW19" s="85"/>
      <c r="ESX19" s="85"/>
      <c r="ESY19" s="85"/>
      <c r="ESZ19" s="85"/>
      <c r="ETA19" s="85"/>
      <c r="ETB19" s="85"/>
      <c r="ETC19" s="85"/>
      <c r="ETD19" s="85"/>
      <c r="ETE19" s="85"/>
      <c r="ETF19" s="85"/>
      <c r="ETG19" s="85"/>
      <c r="ETH19" s="85"/>
      <c r="ETI19" s="85"/>
      <c r="ETJ19" s="85"/>
      <c r="ETK19" s="85"/>
      <c r="ETL19" s="85"/>
      <c r="ETM19" s="85"/>
      <c r="ETN19" s="85"/>
      <c r="ETO19" s="85"/>
      <c r="ETP19" s="85"/>
      <c r="ETQ19" s="85"/>
      <c r="ETR19" s="85"/>
      <c r="ETS19" s="85"/>
      <c r="ETT19" s="85"/>
      <c r="ETU19" s="85"/>
      <c r="ETV19" s="85"/>
      <c r="ETW19" s="85"/>
      <c r="ETX19" s="85"/>
      <c r="ETY19" s="85"/>
      <c r="ETZ19" s="85"/>
      <c r="EUA19" s="85"/>
      <c r="EUB19" s="85"/>
      <c r="EUC19" s="85"/>
      <c r="EUD19" s="85"/>
      <c r="EUE19" s="85"/>
      <c r="EUF19" s="85"/>
      <c r="EUG19" s="85"/>
      <c r="EUH19" s="85"/>
      <c r="EUI19" s="85"/>
      <c r="EUJ19" s="85"/>
      <c r="EUK19" s="85"/>
      <c r="EUL19" s="85"/>
      <c r="EUM19" s="85"/>
      <c r="EUN19" s="85"/>
      <c r="EUO19" s="85"/>
      <c r="EUP19" s="85"/>
      <c r="EUQ19" s="85"/>
      <c r="EUR19" s="85"/>
      <c r="EUS19" s="85"/>
      <c r="EUT19" s="85"/>
      <c r="EUU19" s="85"/>
      <c r="EUV19" s="85"/>
      <c r="EUW19" s="85"/>
      <c r="EUX19" s="85"/>
      <c r="EUY19" s="85"/>
      <c r="EUZ19" s="85"/>
      <c r="EVA19" s="85"/>
      <c r="EVB19" s="85"/>
      <c r="EVC19" s="85"/>
      <c r="EVD19" s="85"/>
      <c r="EVE19" s="85"/>
      <c r="EVF19" s="85"/>
      <c r="EVG19" s="85"/>
      <c r="EVH19" s="85"/>
      <c r="EVI19" s="85"/>
      <c r="EVJ19" s="85"/>
      <c r="EVK19" s="85"/>
      <c r="EVL19" s="85"/>
      <c r="EVM19" s="85"/>
      <c r="EVN19" s="85"/>
      <c r="EVO19" s="85"/>
      <c r="EVP19" s="85"/>
      <c r="EVQ19" s="85"/>
      <c r="EVR19" s="85"/>
      <c r="EVS19" s="85"/>
      <c r="EVT19" s="85"/>
      <c r="EVU19" s="85"/>
      <c r="EVV19" s="85"/>
      <c r="EVW19" s="85"/>
      <c r="EVX19" s="85"/>
      <c r="EVY19" s="85"/>
      <c r="EVZ19" s="85"/>
      <c r="EWA19" s="85"/>
      <c r="EWB19" s="85"/>
      <c r="EWC19" s="85"/>
      <c r="EWD19" s="85"/>
      <c r="EWE19" s="85"/>
      <c r="EWF19" s="85"/>
      <c r="EWG19" s="85"/>
      <c r="EWH19" s="85"/>
      <c r="EWI19" s="85"/>
      <c r="EWJ19" s="85"/>
      <c r="EWK19" s="85"/>
      <c r="EWL19" s="85"/>
      <c r="EWM19" s="85"/>
      <c r="EWN19" s="85"/>
      <c r="EWO19" s="85"/>
      <c r="EWP19" s="85"/>
      <c r="EWQ19" s="85"/>
      <c r="EWR19" s="85"/>
      <c r="EWS19" s="85"/>
      <c r="EWT19" s="85"/>
      <c r="EWU19" s="85"/>
      <c r="EWV19" s="85"/>
      <c r="EWW19" s="85"/>
      <c r="EWX19" s="85"/>
      <c r="EWY19" s="85"/>
      <c r="EWZ19" s="85"/>
      <c r="EXA19" s="85"/>
      <c r="EXB19" s="85"/>
      <c r="EXC19" s="85"/>
      <c r="EXD19" s="85"/>
      <c r="EXE19" s="85"/>
      <c r="EXF19" s="85"/>
      <c r="EXG19" s="85"/>
      <c r="EXH19" s="85"/>
      <c r="EXI19" s="85"/>
      <c r="EXJ19" s="85"/>
      <c r="EXK19" s="85"/>
      <c r="EXL19" s="85"/>
      <c r="EXM19" s="85"/>
      <c r="EXN19" s="85"/>
      <c r="EXO19" s="85"/>
      <c r="EXP19" s="85"/>
      <c r="EXQ19" s="85"/>
      <c r="EXR19" s="85"/>
      <c r="EXS19" s="85"/>
      <c r="EXT19" s="85"/>
      <c r="EXU19" s="85"/>
      <c r="EXV19" s="85"/>
      <c r="EXW19" s="85"/>
      <c r="EXX19" s="85"/>
      <c r="EXY19" s="85"/>
      <c r="EXZ19" s="85"/>
      <c r="EYA19" s="85"/>
      <c r="EYB19" s="85"/>
      <c r="EYC19" s="85"/>
      <c r="EYD19" s="85"/>
      <c r="EYE19" s="85"/>
      <c r="EYF19" s="85"/>
      <c r="EYG19" s="85"/>
      <c r="EYH19" s="85"/>
      <c r="EYI19" s="85"/>
      <c r="EYJ19" s="85"/>
      <c r="EYK19" s="85"/>
      <c r="EYL19" s="85"/>
      <c r="EYM19" s="85"/>
      <c r="EYN19" s="85"/>
      <c r="EYO19" s="85"/>
      <c r="EYP19" s="85"/>
      <c r="EYQ19" s="85"/>
      <c r="EYR19" s="85"/>
      <c r="EYS19" s="85"/>
      <c r="EYT19" s="85"/>
      <c r="EYU19" s="85"/>
      <c r="EYV19" s="85"/>
      <c r="EYW19" s="85"/>
      <c r="EYX19" s="85"/>
      <c r="EYY19" s="85"/>
      <c r="EYZ19" s="85"/>
      <c r="EZA19" s="85"/>
      <c r="EZB19" s="85"/>
      <c r="EZC19" s="85"/>
      <c r="EZD19" s="85"/>
      <c r="EZE19" s="85"/>
      <c r="EZF19" s="85"/>
      <c r="EZG19" s="85"/>
      <c r="EZH19" s="85"/>
      <c r="EZI19" s="85"/>
      <c r="EZJ19" s="85"/>
      <c r="EZK19" s="85"/>
      <c r="EZL19" s="85"/>
      <c r="EZM19" s="85"/>
      <c r="EZN19" s="85"/>
      <c r="EZO19" s="85"/>
      <c r="EZP19" s="85"/>
      <c r="EZQ19" s="85"/>
      <c r="EZR19" s="85"/>
      <c r="EZS19" s="85"/>
      <c r="EZT19" s="85"/>
      <c r="EZU19" s="85"/>
      <c r="EZV19" s="85"/>
      <c r="EZW19" s="85"/>
      <c r="EZX19" s="85"/>
      <c r="EZY19" s="85"/>
      <c r="EZZ19" s="85"/>
      <c r="FAA19" s="85"/>
      <c r="FAB19" s="85"/>
      <c r="FAC19" s="85"/>
      <c r="FAD19" s="85"/>
      <c r="FAE19" s="85"/>
      <c r="FAF19" s="85"/>
      <c r="FAG19" s="85"/>
      <c r="FAH19" s="85"/>
      <c r="FAI19" s="85"/>
      <c r="FAJ19" s="85"/>
      <c r="FAK19" s="85"/>
      <c r="FAL19" s="85"/>
      <c r="FAM19" s="85"/>
      <c r="FAN19" s="85"/>
      <c r="FAO19" s="85"/>
      <c r="FAP19" s="85"/>
      <c r="FAQ19" s="85"/>
      <c r="FAR19" s="85"/>
      <c r="FAS19" s="85"/>
      <c r="FAT19" s="85"/>
      <c r="FAU19" s="85"/>
      <c r="FAV19" s="85"/>
      <c r="FAW19" s="85"/>
      <c r="FAX19" s="85"/>
      <c r="FAY19" s="85"/>
      <c r="FAZ19" s="85"/>
      <c r="FBA19" s="85"/>
      <c r="FBB19" s="85"/>
      <c r="FBC19" s="85"/>
      <c r="FBD19" s="85"/>
      <c r="FBE19" s="85"/>
      <c r="FBF19" s="85"/>
      <c r="FBG19" s="85"/>
      <c r="FBH19" s="85"/>
      <c r="FBI19" s="85"/>
      <c r="FBJ19" s="85"/>
      <c r="FBK19" s="85"/>
      <c r="FBL19" s="85"/>
      <c r="FBM19" s="85"/>
      <c r="FBN19" s="85"/>
      <c r="FBO19" s="85"/>
      <c r="FBP19" s="85"/>
      <c r="FBQ19" s="85"/>
      <c r="FBR19" s="85"/>
      <c r="FBS19" s="85"/>
      <c r="FBT19" s="85"/>
      <c r="FBU19" s="85"/>
      <c r="FBV19" s="85"/>
      <c r="FBW19" s="85"/>
      <c r="FBX19" s="85"/>
      <c r="FBY19" s="85"/>
      <c r="FBZ19" s="85"/>
      <c r="FCA19" s="85"/>
      <c r="FCB19" s="85"/>
      <c r="FCC19" s="85"/>
      <c r="FCD19" s="85"/>
      <c r="FCE19" s="85"/>
      <c r="FCF19" s="85"/>
      <c r="FCG19" s="85"/>
      <c r="FCH19" s="85"/>
      <c r="FCI19" s="85"/>
      <c r="FCJ19" s="85"/>
      <c r="FCK19" s="85"/>
      <c r="FCL19" s="85"/>
      <c r="FCM19" s="85"/>
      <c r="FCN19" s="85"/>
      <c r="FCO19" s="85"/>
      <c r="FCP19" s="85"/>
      <c r="FCQ19" s="85"/>
      <c r="FCR19" s="85"/>
      <c r="FCS19" s="85"/>
      <c r="FCT19" s="85"/>
      <c r="FCU19" s="85"/>
      <c r="FCV19" s="85"/>
      <c r="FCW19" s="85"/>
      <c r="FCX19" s="85"/>
      <c r="FCY19" s="85"/>
      <c r="FCZ19" s="85"/>
      <c r="FDA19" s="85"/>
      <c r="FDB19" s="85"/>
      <c r="FDC19" s="85"/>
      <c r="FDD19" s="85"/>
      <c r="FDE19" s="85"/>
      <c r="FDF19" s="85"/>
      <c r="FDG19" s="85"/>
      <c r="FDH19" s="85"/>
      <c r="FDI19" s="85"/>
      <c r="FDJ19" s="85"/>
      <c r="FDK19" s="85"/>
      <c r="FDL19" s="85"/>
      <c r="FDM19" s="85"/>
      <c r="FDN19" s="85"/>
      <c r="FDO19" s="85"/>
      <c r="FDP19" s="85"/>
      <c r="FDQ19" s="85"/>
      <c r="FDR19" s="85"/>
      <c r="FDS19" s="85"/>
      <c r="FDT19" s="85"/>
      <c r="FDU19" s="85"/>
      <c r="FDV19" s="85"/>
      <c r="FDW19" s="85"/>
      <c r="FDX19" s="85"/>
      <c r="FDY19" s="85"/>
      <c r="FDZ19" s="85"/>
      <c r="FEA19" s="85"/>
      <c r="FEB19" s="85"/>
      <c r="FEC19" s="85"/>
      <c r="FED19" s="85"/>
      <c r="FEE19" s="85"/>
      <c r="FEF19" s="85"/>
      <c r="FEG19" s="85"/>
      <c r="FEH19" s="85"/>
      <c r="FEI19" s="85"/>
      <c r="FEJ19" s="85"/>
      <c r="FEK19" s="85"/>
      <c r="FEL19" s="85"/>
      <c r="FEM19" s="85"/>
      <c r="FEN19" s="85"/>
      <c r="FEO19" s="85"/>
      <c r="FEP19" s="85"/>
      <c r="FEQ19" s="85"/>
      <c r="FER19" s="85"/>
      <c r="FES19" s="85"/>
      <c r="FET19" s="85"/>
      <c r="FEU19" s="85"/>
      <c r="FEV19" s="85"/>
      <c r="FEW19" s="85"/>
      <c r="FEX19" s="85"/>
      <c r="FEY19" s="85"/>
      <c r="FEZ19" s="85"/>
      <c r="FFA19" s="85"/>
      <c r="FFB19" s="85"/>
      <c r="FFC19" s="85"/>
      <c r="FFD19" s="85"/>
      <c r="FFE19" s="85"/>
      <c r="FFF19" s="85"/>
      <c r="FFG19" s="85"/>
      <c r="FFH19" s="85"/>
      <c r="FFI19" s="85"/>
      <c r="FFJ19" s="85"/>
      <c r="FFK19" s="85"/>
      <c r="FFL19" s="85"/>
      <c r="FFM19" s="85"/>
      <c r="FFN19" s="85"/>
      <c r="FFO19" s="85"/>
      <c r="FFP19" s="85"/>
      <c r="FFQ19" s="85"/>
      <c r="FFR19" s="85"/>
      <c r="FFS19" s="85"/>
      <c r="FFT19" s="85"/>
      <c r="FFU19" s="85"/>
      <c r="FFV19" s="85"/>
      <c r="FFW19" s="85"/>
      <c r="FFX19" s="85"/>
      <c r="FFY19" s="85"/>
      <c r="FFZ19" s="85"/>
      <c r="FGA19" s="85"/>
      <c r="FGB19" s="85"/>
      <c r="FGC19" s="85"/>
      <c r="FGD19" s="85"/>
      <c r="FGE19" s="85"/>
      <c r="FGF19" s="85"/>
      <c r="FGG19" s="85"/>
      <c r="FGH19" s="85"/>
      <c r="FGI19" s="85"/>
      <c r="FGJ19" s="85"/>
      <c r="FGK19" s="85"/>
      <c r="FGL19" s="85"/>
      <c r="FGM19" s="85"/>
      <c r="FGN19" s="85"/>
      <c r="FGO19" s="85"/>
      <c r="FGP19" s="85"/>
      <c r="FGQ19" s="85"/>
      <c r="FGR19" s="85"/>
      <c r="FGS19" s="85"/>
      <c r="FGT19" s="85"/>
      <c r="FGU19" s="85"/>
      <c r="FGV19" s="85"/>
      <c r="FGW19" s="85"/>
      <c r="FGX19" s="85"/>
      <c r="FGY19" s="85"/>
      <c r="FGZ19" s="85"/>
      <c r="FHA19" s="85"/>
      <c r="FHB19" s="85"/>
      <c r="FHC19" s="85"/>
      <c r="FHD19" s="85"/>
      <c r="FHE19" s="85"/>
      <c r="FHF19" s="85"/>
      <c r="FHG19" s="85"/>
      <c r="FHH19" s="85"/>
      <c r="FHI19" s="85"/>
      <c r="FHJ19" s="85"/>
      <c r="FHK19" s="85"/>
      <c r="FHL19" s="85"/>
      <c r="FHM19" s="85"/>
      <c r="FHN19" s="85"/>
      <c r="FHO19" s="85"/>
      <c r="FHP19" s="85"/>
      <c r="FHQ19" s="85"/>
      <c r="FHR19" s="85"/>
      <c r="FHS19" s="85"/>
      <c r="FHT19" s="85"/>
      <c r="FHU19" s="85"/>
      <c r="FHV19" s="85"/>
      <c r="FHW19" s="85"/>
      <c r="FHX19" s="85"/>
      <c r="FHY19" s="85"/>
      <c r="FHZ19" s="85"/>
      <c r="FIA19" s="85"/>
      <c r="FIB19" s="85"/>
      <c r="FIC19" s="85"/>
      <c r="FID19" s="85"/>
      <c r="FIE19" s="85"/>
      <c r="FIF19" s="85"/>
      <c r="FIG19" s="85"/>
      <c r="FIH19" s="85"/>
      <c r="FII19" s="85"/>
      <c r="FIJ19" s="85"/>
      <c r="FIK19" s="85"/>
      <c r="FIL19" s="85"/>
      <c r="FIM19" s="85"/>
      <c r="FIN19" s="85"/>
      <c r="FIO19" s="85"/>
      <c r="FIP19" s="85"/>
      <c r="FIQ19" s="85"/>
      <c r="FIR19" s="85"/>
      <c r="FIS19" s="85"/>
      <c r="FIT19" s="85"/>
      <c r="FIU19" s="85"/>
      <c r="FIV19" s="85"/>
      <c r="FIW19" s="85"/>
      <c r="FIX19" s="85"/>
      <c r="FIY19" s="85"/>
      <c r="FIZ19" s="85"/>
      <c r="FJA19" s="85"/>
      <c r="FJB19" s="85"/>
      <c r="FJC19" s="85"/>
      <c r="FJD19" s="85"/>
      <c r="FJE19" s="85"/>
      <c r="FJF19" s="85"/>
      <c r="FJG19" s="85"/>
      <c r="FJH19" s="85"/>
      <c r="FJI19" s="85"/>
      <c r="FJJ19" s="85"/>
      <c r="FJK19" s="85"/>
      <c r="FJL19" s="85"/>
      <c r="FJM19" s="85"/>
      <c r="FJN19" s="85"/>
      <c r="FJO19" s="85"/>
      <c r="FJP19" s="85"/>
      <c r="FJQ19" s="85"/>
      <c r="FJR19" s="85"/>
      <c r="FJS19" s="85"/>
      <c r="FJT19" s="85"/>
      <c r="FJU19" s="85"/>
      <c r="FJV19" s="85"/>
      <c r="FJW19" s="85"/>
      <c r="FJX19" s="85"/>
      <c r="FJY19" s="85"/>
      <c r="FJZ19" s="85"/>
      <c r="FKA19" s="85"/>
      <c r="FKB19" s="85"/>
      <c r="FKC19" s="85"/>
      <c r="FKD19" s="85"/>
      <c r="FKE19" s="85"/>
      <c r="FKF19" s="85"/>
      <c r="FKG19" s="85"/>
      <c r="FKH19" s="85"/>
      <c r="FKI19" s="85"/>
      <c r="FKJ19" s="85"/>
      <c r="FKK19" s="85"/>
      <c r="FKL19" s="85"/>
      <c r="FKM19" s="85"/>
      <c r="FKN19" s="85"/>
      <c r="FKO19" s="85"/>
      <c r="FKP19" s="85"/>
      <c r="FKQ19" s="85"/>
      <c r="FKR19" s="85"/>
      <c r="FKS19" s="85"/>
      <c r="FKT19" s="85"/>
      <c r="FKU19" s="85"/>
      <c r="FKV19" s="85"/>
      <c r="FKW19" s="85"/>
      <c r="FKX19" s="85"/>
      <c r="FKY19" s="85"/>
      <c r="FKZ19" s="85"/>
      <c r="FLA19" s="85"/>
      <c r="FLB19" s="85"/>
      <c r="FLC19" s="85"/>
      <c r="FLD19" s="85"/>
      <c r="FLE19" s="85"/>
      <c r="FLF19" s="85"/>
      <c r="FLG19" s="85"/>
      <c r="FLH19" s="85"/>
      <c r="FLI19" s="85"/>
      <c r="FLJ19" s="85"/>
      <c r="FLK19" s="85"/>
      <c r="FLL19" s="85"/>
      <c r="FLM19" s="85"/>
      <c r="FLN19" s="85"/>
      <c r="FLO19" s="85"/>
      <c r="FLP19" s="85"/>
      <c r="FLQ19" s="85"/>
      <c r="FLR19" s="85"/>
      <c r="FLS19" s="85"/>
      <c r="FLT19" s="85"/>
      <c r="FLU19" s="85"/>
      <c r="FLV19" s="85"/>
      <c r="FLW19" s="85"/>
      <c r="FLX19" s="85"/>
      <c r="FLY19" s="85"/>
      <c r="FLZ19" s="85"/>
      <c r="FMA19" s="85"/>
      <c r="FMB19" s="85"/>
      <c r="FMC19" s="85"/>
      <c r="FMD19" s="85"/>
      <c r="FME19" s="85"/>
      <c r="FMF19" s="85"/>
      <c r="FMG19" s="85"/>
      <c r="FMH19" s="85"/>
      <c r="FMI19" s="85"/>
      <c r="FMJ19" s="85"/>
      <c r="FMK19" s="85"/>
      <c r="FML19" s="85"/>
      <c r="FMM19" s="85"/>
      <c r="FMN19" s="85"/>
      <c r="FMO19" s="85"/>
      <c r="FMP19" s="85"/>
      <c r="FMQ19" s="85"/>
      <c r="FMR19" s="85"/>
      <c r="FMS19" s="85"/>
      <c r="FMT19" s="85"/>
      <c r="FMU19" s="85"/>
      <c r="FMV19" s="85"/>
      <c r="FMW19" s="85"/>
      <c r="FMX19" s="85"/>
      <c r="FMY19" s="85"/>
      <c r="FMZ19" s="85"/>
      <c r="FNA19" s="85"/>
      <c r="FNB19" s="85"/>
      <c r="FNC19" s="85"/>
      <c r="FND19" s="85"/>
      <c r="FNE19" s="85"/>
      <c r="FNF19" s="85"/>
      <c r="FNG19" s="85"/>
      <c r="FNH19" s="85"/>
      <c r="FNI19" s="85"/>
      <c r="FNJ19" s="85"/>
      <c r="FNK19" s="85"/>
      <c r="FNL19" s="85"/>
      <c r="FNM19" s="85"/>
      <c r="FNN19" s="85"/>
      <c r="FNO19" s="85"/>
      <c r="FNP19" s="85"/>
      <c r="FNQ19" s="85"/>
      <c r="FNR19" s="85"/>
      <c r="FNS19" s="85"/>
      <c r="FNT19" s="85"/>
      <c r="FNU19" s="85"/>
      <c r="FNV19" s="85"/>
      <c r="FNW19" s="85"/>
      <c r="FNX19" s="85"/>
      <c r="FNY19" s="85"/>
      <c r="FNZ19" s="85"/>
      <c r="FOA19" s="85"/>
      <c r="FOB19" s="85"/>
      <c r="FOC19" s="85"/>
      <c r="FOD19" s="85"/>
      <c r="FOE19" s="85"/>
      <c r="FOF19" s="85"/>
      <c r="FOG19" s="85"/>
      <c r="FOH19" s="85"/>
      <c r="FOI19" s="85"/>
      <c r="FOJ19" s="85"/>
      <c r="FOK19" s="85"/>
      <c r="FOL19" s="85"/>
      <c r="FOM19" s="85"/>
      <c r="FON19" s="85"/>
      <c r="FOO19" s="85"/>
      <c r="FOP19" s="85"/>
      <c r="FOQ19" s="85"/>
      <c r="FOR19" s="85"/>
      <c r="FOS19" s="85"/>
      <c r="FOT19" s="85"/>
      <c r="FOU19" s="85"/>
      <c r="FOV19" s="85"/>
      <c r="FOW19" s="85"/>
      <c r="FOX19" s="85"/>
      <c r="FOY19" s="85"/>
      <c r="FOZ19" s="85"/>
      <c r="FPA19" s="85"/>
      <c r="FPB19" s="85"/>
      <c r="FPC19" s="85"/>
      <c r="FPD19" s="85"/>
      <c r="FPE19" s="85"/>
      <c r="FPF19" s="85"/>
      <c r="FPG19" s="85"/>
      <c r="FPH19" s="85"/>
      <c r="FPI19" s="85"/>
      <c r="FPJ19" s="85"/>
      <c r="FPK19" s="85"/>
      <c r="FPL19" s="85"/>
      <c r="FPM19" s="85"/>
      <c r="FPN19" s="85"/>
      <c r="FPO19" s="85"/>
      <c r="FPP19" s="85"/>
      <c r="FPQ19" s="85"/>
      <c r="FPR19" s="85"/>
      <c r="FPS19" s="85"/>
      <c r="FPT19" s="85"/>
      <c r="FPU19" s="85"/>
      <c r="FPV19" s="85"/>
      <c r="FPW19" s="85"/>
      <c r="FPX19" s="85"/>
      <c r="FPY19" s="85"/>
      <c r="FPZ19" s="85"/>
      <c r="FQA19" s="85"/>
      <c r="FQB19" s="85"/>
      <c r="FQC19" s="85"/>
      <c r="FQD19" s="85"/>
      <c r="FQE19" s="85"/>
      <c r="FQF19" s="85"/>
      <c r="FQG19" s="85"/>
      <c r="FQH19" s="85"/>
      <c r="FQI19" s="85"/>
      <c r="FQJ19" s="85"/>
      <c r="FQK19" s="85"/>
      <c r="FQL19" s="85"/>
      <c r="FQM19" s="85"/>
      <c r="FQN19" s="85"/>
      <c r="FQO19" s="85"/>
      <c r="FQP19" s="85"/>
      <c r="FQQ19" s="85"/>
      <c r="FQR19" s="85"/>
      <c r="FQS19" s="85"/>
      <c r="FQT19" s="85"/>
      <c r="FQU19" s="85"/>
      <c r="FQV19" s="85"/>
      <c r="FQW19" s="85"/>
      <c r="FQX19" s="85"/>
      <c r="FQY19" s="85"/>
      <c r="FQZ19" s="85"/>
      <c r="FRA19" s="85"/>
      <c r="FRB19" s="85"/>
      <c r="FRC19" s="85"/>
      <c r="FRD19" s="85"/>
      <c r="FRE19" s="85"/>
      <c r="FRF19" s="85"/>
      <c r="FRG19" s="85"/>
      <c r="FRH19" s="85"/>
      <c r="FRI19" s="85"/>
      <c r="FRJ19" s="85"/>
      <c r="FRK19" s="85"/>
      <c r="FRL19" s="85"/>
      <c r="FRM19" s="85"/>
      <c r="FRN19" s="85"/>
      <c r="FRO19" s="85"/>
      <c r="FRP19" s="85"/>
      <c r="FRQ19" s="85"/>
      <c r="FRR19" s="85"/>
      <c r="FRS19" s="85"/>
      <c r="FRT19" s="85"/>
      <c r="FRU19" s="85"/>
      <c r="FRV19" s="85"/>
      <c r="FRW19" s="85"/>
      <c r="FRX19" s="85"/>
      <c r="FRY19" s="85"/>
      <c r="FRZ19" s="85"/>
      <c r="FSA19" s="85"/>
      <c r="FSB19" s="85"/>
      <c r="FSC19" s="85"/>
      <c r="FSD19" s="85"/>
      <c r="FSE19" s="85"/>
      <c r="FSF19" s="85"/>
      <c r="FSG19" s="85"/>
      <c r="FSH19" s="85"/>
      <c r="FSI19" s="85"/>
      <c r="FSJ19" s="85"/>
      <c r="FSK19" s="85"/>
      <c r="FSL19" s="85"/>
      <c r="FSM19" s="85"/>
      <c r="FSN19" s="85"/>
      <c r="FSO19" s="85"/>
      <c r="FSP19" s="85"/>
      <c r="FSQ19" s="85"/>
      <c r="FSR19" s="85"/>
      <c r="FSS19" s="85"/>
      <c r="FST19" s="85"/>
      <c r="FSU19" s="85"/>
      <c r="FSV19" s="85"/>
      <c r="FSW19" s="85"/>
      <c r="FSX19" s="85"/>
      <c r="FSY19" s="85"/>
      <c r="FSZ19" s="85"/>
      <c r="FTA19" s="85"/>
      <c r="FTB19" s="85"/>
      <c r="FTC19" s="85"/>
      <c r="FTD19" s="85"/>
      <c r="FTE19" s="85"/>
      <c r="FTF19" s="85"/>
      <c r="FTG19" s="85"/>
      <c r="FTH19" s="85"/>
      <c r="FTI19" s="85"/>
      <c r="FTJ19" s="85"/>
      <c r="FTK19" s="85"/>
      <c r="FTL19" s="85"/>
      <c r="FTM19" s="85"/>
      <c r="FTN19" s="85"/>
      <c r="FTO19" s="85"/>
      <c r="FTP19" s="85"/>
      <c r="FTQ19" s="85"/>
      <c r="FTR19" s="85"/>
      <c r="FTS19" s="85"/>
      <c r="FTT19" s="85"/>
      <c r="FTU19" s="85"/>
      <c r="FTV19" s="85"/>
      <c r="FTW19" s="85"/>
      <c r="FTX19" s="85"/>
      <c r="FTY19" s="85"/>
      <c r="FTZ19" s="85"/>
      <c r="FUA19" s="85"/>
      <c r="FUB19" s="85"/>
      <c r="FUC19" s="85"/>
      <c r="FUD19" s="85"/>
      <c r="FUE19" s="85"/>
      <c r="FUF19" s="85"/>
      <c r="FUG19" s="85"/>
      <c r="FUH19" s="85"/>
      <c r="FUI19" s="85"/>
      <c r="FUJ19" s="85"/>
      <c r="FUK19" s="85"/>
      <c r="FUL19" s="85"/>
      <c r="FUM19" s="85"/>
      <c r="FUN19" s="85"/>
      <c r="FUO19" s="85"/>
      <c r="FUP19" s="85"/>
      <c r="FUQ19" s="85"/>
      <c r="FUR19" s="85"/>
      <c r="FUS19" s="85"/>
      <c r="FUT19" s="85"/>
      <c r="FUU19" s="85"/>
      <c r="FUV19" s="85"/>
      <c r="FUW19" s="85"/>
      <c r="FUX19" s="85"/>
      <c r="FUY19" s="85"/>
      <c r="FUZ19" s="85"/>
      <c r="FVA19" s="85"/>
      <c r="FVB19" s="85"/>
      <c r="FVC19" s="85"/>
      <c r="FVD19" s="85"/>
      <c r="FVE19" s="85"/>
      <c r="FVF19" s="85"/>
      <c r="FVG19" s="85"/>
      <c r="FVH19" s="85"/>
      <c r="FVI19" s="85"/>
      <c r="FVJ19" s="85"/>
      <c r="FVK19" s="85"/>
      <c r="FVL19" s="85"/>
      <c r="FVM19" s="85"/>
      <c r="FVN19" s="85"/>
      <c r="FVO19" s="85"/>
      <c r="FVP19" s="85"/>
      <c r="FVQ19" s="85"/>
      <c r="FVR19" s="85"/>
      <c r="FVS19" s="85"/>
      <c r="FVT19" s="85"/>
      <c r="FVU19" s="85"/>
      <c r="FVV19" s="85"/>
      <c r="FVW19" s="85"/>
      <c r="FVX19" s="85"/>
      <c r="FVY19" s="85"/>
      <c r="FVZ19" s="85"/>
      <c r="FWA19" s="85"/>
      <c r="FWB19" s="85"/>
      <c r="FWC19" s="85"/>
      <c r="FWD19" s="85"/>
      <c r="FWE19" s="85"/>
      <c r="FWF19" s="85"/>
      <c r="FWG19" s="85"/>
      <c r="FWH19" s="85"/>
      <c r="FWI19" s="85"/>
      <c r="FWJ19" s="85"/>
      <c r="FWK19" s="85"/>
      <c r="FWL19" s="85"/>
      <c r="FWM19" s="85"/>
      <c r="FWN19" s="85"/>
      <c r="FWO19" s="85"/>
      <c r="FWP19" s="85"/>
      <c r="FWQ19" s="85"/>
      <c r="FWR19" s="85"/>
      <c r="FWS19" s="85"/>
      <c r="FWT19" s="85"/>
      <c r="FWU19" s="85"/>
      <c r="FWV19" s="85"/>
      <c r="FWW19" s="85"/>
      <c r="FWX19" s="85"/>
      <c r="FWY19" s="85"/>
      <c r="FWZ19" s="85"/>
      <c r="FXA19" s="85"/>
      <c r="FXB19" s="85"/>
      <c r="FXC19" s="85"/>
      <c r="FXD19" s="85"/>
      <c r="FXE19" s="85"/>
      <c r="FXF19" s="85"/>
      <c r="FXG19" s="85"/>
      <c r="FXH19" s="85"/>
      <c r="FXI19" s="85"/>
      <c r="FXJ19" s="85"/>
      <c r="FXK19" s="85"/>
      <c r="FXL19" s="85"/>
      <c r="FXM19" s="85"/>
      <c r="FXN19" s="85"/>
      <c r="FXO19" s="85"/>
      <c r="FXP19" s="85"/>
      <c r="FXQ19" s="85"/>
      <c r="FXR19" s="85"/>
      <c r="FXS19" s="85"/>
      <c r="FXT19" s="85"/>
      <c r="FXU19" s="85"/>
      <c r="FXV19" s="85"/>
      <c r="FXW19" s="85"/>
      <c r="FXX19" s="85"/>
      <c r="FXY19" s="85"/>
      <c r="FXZ19" s="85"/>
      <c r="FYA19" s="85"/>
      <c r="FYB19" s="85"/>
      <c r="FYC19" s="85"/>
      <c r="FYD19" s="85"/>
      <c r="FYE19" s="85"/>
      <c r="FYF19" s="85"/>
      <c r="FYG19" s="85"/>
      <c r="FYH19" s="85"/>
      <c r="FYI19" s="85"/>
      <c r="FYJ19" s="85"/>
      <c r="FYK19" s="85"/>
      <c r="FYL19" s="85"/>
      <c r="FYM19" s="85"/>
      <c r="FYN19" s="85"/>
      <c r="FYO19" s="85"/>
      <c r="FYP19" s="85"/>
      <c r="FYQ19" s="85"/>
      <c r="FYR19" s="85"/>
      <c r="FYS19" s="85"/>
      <c r="FYT19" s="85"/>
      <c r="FYU19" s="85"/>
      <c r="FYV19" s="85"/>
      <c r="FYW19" s="85"/>
      <c r="FYX19" s="85"/>
      <c r="FYY19" s="85"/>
      <c r="FYZ19" s="85"/>
      <c r="FZA19" s="85"/>
      <c r="FZB19" s="85"/>
      <c r="FZC19" s="85"/>
      <c r="FZD19" s="85"/>
      <c r="FZE19" s="85"/>
      <c r="FZF19" s="85"/>
      <c r="FZG19" s="85"/>
      <c r="FZH19" s="85"/>
      <c r="FZI19" s="85"/>
      <c r="FZJ19" s="85"/>
      <c r="FZK19" s="85"/>
      <c r="FZL19" s="85"/>
      <c r="FZM19" s="85"/>
      <c r="FZN19" s="85"/>
      <c r="FZO19" s="85"/>
      <c r="FZP19" s="85"/>
      <c r="FZQ19" s="85"/>
      <c r="FZR19" s="85"/>
      <c r="FZS19" s="85"/>
      <c r="FZT19" s="85"/>
      <c r="FZU19" s="85"/>
      <c r="FZV19" s="85"/>
      <c r="FZW19" s="85"/>
      <c r="FZX19" s="85"/>
      <c r="FZY19" s="85"/>
      <c r="FZZ19" s="85"/>
      <c r="GAA19" s="85"/>
      <c r="GAB19" s="85"/>
      <c r="GAC19" s="85"/>
      <c r="GAD19" s="85"/>
      <c r="GAE19" s="85"/>
      <c r="GAF19" s="85"/>
      <c r="GAG19" s="85"/>
      <c r="GAH19" s="85"/>
      <c r="GAI19" s="85"/>
      <c r="GAJ19" s="85"/>
      <c r="GAK19" s="85"/>
      <c r="GAL19" s="85"/>
      <c r="GAM19" s="85"/>
      <c r="GAN19" s="85"/>
      <c r="GAO19" s="85"/>
      <c r="GAP19" s="85"/>
      <c r="GAQ19" s="85"/>
      <c r="GAR19" s="85"/>
      <c r="GAS19" s="85"/>
      <c r="GAT19" s="85"/>
      <c r="GAU19" s="85"/>
      <c r="GAV19" s="85"/>
      <c r="GAW19" s="85"/>
      <c r="GAX19" s="85"/>
      <c r="GAY19" s="85"/>
      <c r="GAZ19" s="85"/>
      <c r="GBA19" s="85"/>
      <c r="GBB19" s="85"/>
      <c r="GBC19" s="85"/>
      <c r="GBD19" s="85"/>
      <c r="GBE19" s="85"/>
      <c r="GBF19" s="85"/>
      <c r="GBG19" s="85"/>
      <c r="GBH19" s="85"/>
      <c r="GBI19" s="85"/>
      <c r="GBJ19" s="85"/>
      <c r="GBK19" s="85"/>
      <c r="GBL19" s="85"/>
      <c r="GBM19" s="85"/>
      <c r="GBN19" s="85"/>
      <c r="GBO19" s="85"/>
      <c r="GBP19" s="85"/>
      <c r="GBQ19" s="85"/>
      <c r="GBR19" s="85"/>
      <c r="GBS19" s="85"/>
      <c r="GBT19" s="85"/>
      <c r="GBU19" s="85"/>
      <c r="GBV19" s="85"/>
      <c r="GBW19" s="85"/>
      <c r="GBX19" s="85"/>
      <c r="GBY19" s="85"/>
      <c r="GBZ19" s="85"/>
      <c r="GCA19" s="85"/>
      <c r="GCB19" s="85"/>
      <c r="GCC19" s="85"/>
      <c r="GCD19" s="85"/>
      <c r="GCE19" s="85"/>
      <c r="GCF19" s="85"/>
      <c r="GCG19" s="85"/>
      <c r="GCH19" s="85"/>
      <c r="GCI19" s="85"/>
      <c r="GCJ19" s="85"/>
      <c r="GCK19" s="85"/>
      <c r="GCL19" s="85"/>
      <c r="GCM19" s="85"/>
      <c r="GCN19" s="85"/>
      <c r="GCO19" s="85"/>
      <c r="GCP19" s="85"/>
      <c r="GCQ19" s="85"/>
      <c r="GCR19" s="85"/>
      <c r="GCS19" s="85"/>
      <c r="GCT19" s="85"/>
      <c r="GCU19" s="85"/>
      <c r="GCV19" s="85"/>
      <c r="GCW19" s="85"/>
      <c r="GCX19" s="85"/>
      <c r="GCY19" s="85"/>
      <c r="GCZ19" s="85"/>
      <c r="GDA19" s="85"/>
      <c r="GDB19" s="85"/>
      <c r="GDC19" s="85"/>
      <c r="GDD19" s="85"/>
      <c r="GDE19" s="85"/>
      <c r="GDF19" s="85"/>
      <c r="GDG19" s="85"/>
      <c r="GDH19" s="85"/>
      <c r="GDI19" s="85"/>
      <c r="GDJ19" s="85"/>
      <c r="GDK19" s="85"/>
      <c r="GDL19" s="85"/>
      <c r="GDM19" s="85"/>
      <c r="GDN19" s="85"/>
      <c r="GDO19" s="85"/>
      <c r="GDP19" s="85"/>
      <c r="GDQ19" s="85"/>
      <c r="GDR19" s="85"/>
      <c r="GDS19" s="85"/>
      <c r="GDT19" s="85"/>
      <c r="GDU19" s="85"/>
      <c r="GDV19" s="85"/>
      <c r="GDW19" s="85"/>
      <c r="GDX19" s="85"/>
      <c r="GDY19" s="85"/>
      <c r="GDZ19" s="85"/>
      <c r="GEA19" s="85"/>
      <c r="GEB19" s="85"/>
      <c r="GEC19" s="85"/>
      <c r="GED19" s="85"/>
      <c r="GEE19" s="85"/>
      <c r="GEF19" s="85"/>
      <c r="GEG19" s="85"/>
      <c r="GEH19" s="85"/>
      <c r="GEI19" s="85"/>
      <c r="GEJ19" s="85"/>
      <c r="GEK19" s="85"/>
      <c r="GEL19" s="85"/>
      <c r="GEM19" s="85"/>
      <c r="GEN19" s="85"/>
      <c r="GEO19" s="85"/>
      <c r="GEP19" s="85"/>
      <c r="GEQ19" s="85"/>
      <c r="GER19" s="85"/>
      <c r="GES19" s="85"/>
      <c r="GET19" s="85"/>
      <c r="GEU19" s="85"/>
      <c r="GEV19" s="85"/>
      <c r="GEW19" s="85"/>
      <c r="GEX19" s="85"/>
      <c r="GEY19" s="85"/>
      <c r="GEZ19" s="85"/>
      <c r="GFA19" s="85"/>
      <c r="GFB19" s="85"/>
      <c r="GFC19" s="85"/>
      <c r="GFD19" s="85"/>
      <c r="GFE19" s="85"/>
      <c r="GFF19" s="85"/>
      <c r="GFG19" s="85"/>
      <c r="GFH19" s="85"/>
      <c r="GFI19" s="85"/>
      <c r="GFJ19" s="85"/>
      <c r="GFK19" s="85"/>
      <c r="GFL19" s="85"/>
      <c r="GFM19" s="85"/>
      <c r="GFN19" s="85"/>
      <c r="GFO19" s="85"/>
      <c r="GFP19" s="85"/>
      <c r="GFQ19" s="85"/>
      <c r="GFR19" s="85"/>
      <c r="GFS19" s="85"/>
      <c r="GFT19" s="85"/>
      <c r="GFU19" s="85"/>
      <c r="GFV19" s="85"/>
      <c r="GFW19" s="85"/>
      <c r="GFX19" s="85"/>
      <c r="GFY19" s="85"/>
      <c r="GFZ19" s="85"/>
      <c r="GGA19" s="85"/>
      <c r="GGB19" s="85"/>
      <c r="GGC19" s="85"/>
      <c r="GGD19" s="85"/>
      <c r="GGE19" s="85"/>
      <c r="GGF19" s="85"/>
      <c r="GGG19" s="85"/>
      <c r="GGH19" s="85"/>
      <c r="GGI19" s="85"/>
      <c r="GGJ19" s="85"/>
      <c r="GGK19" s="85"/>
      <c r="GGL19" s="85"/>
      <c r="GGM19" s="85"/>
      <c r="GGN19" s="85"/>
      <c r="GGO19" s="85"/>
      <c r="GGP19" s="85"/>
      <c r="GGQ19" s="85"/>
      <c r="GGR19" s="85"/>
      <c r="GGS19" s="85"/>
      <c r="GGT19" s="85"/>
      <c r="GGU19" s="85"/>
      <c r="GGV19" s="85"/>
      <c r="GGW19" s="85"/>
      <c r="GGX19" s="85"/>
      <c r="GGY19" s="85"/>
      <c r="GGZ19" s="85"/>
      <c r="GHA19" s="85"/>
      <c r="GHB19" s="85"/>
      <c r="GHC19" s="85"/>
      <c r="GHD19" s="85"/>
      <c r="GHE19" s="85"/>
      <c r="GHF19" s="85"/>
      <c r="GHG19" s="85"/>
      <c r="GHH19" s="85"/>
      <c r="GHI19" s="85"/>
      <c r="GHJ19" s="85"/>
      <c r="GHK19" s="85"/>
      <c r="GHL19" s="85"/>
      <c r="GHM19" s="85"/>
      <c r="GHN19" s="85"/>
      <c r="GHO19" s="85"/>
      <c r="GHP19" s="85"/>
      <c r="GHQ19" s="85"/>
      <c r="GHR19" s="85"/>
      <c r="GHS19" s="85"/>
      <c r="GHT19" s="85"/>
      <c r="GHU19" s="85"/>
      <c r="GHV19" s="85"/>
      <c r="GHW19" s="85"/>
      <c r="GHX19" s="85"/>
      <c r="GHY19" s="85"/>
      <c r="GHZ19" s="85"/>
      <c r="GIA19" s="85"/>
      <c r="GIB19" s="85"/>
      <c r="GIC19" s="85"/>
      <c r="GID19" s="85"/>
      <c r="GIE19" s="85"/>
      <c r="GIF19" s="85"/>
      <c r="GIG19" s="85"/>
      <c r="GIH19" s="85"/>
      <c r="GII19" s="85"/>
      <c r="GIJ19" s="85"/>
      <c r="GIK19" s="85"/>
      <c r="GIL19" s="85"/>
      <c r="GIM19" s="85"/>
      <c r="GIN19" s="85"/>
      <c r="GIO19" s="85"/>
      <c r="GIP19" s="85"/>
      <c r="GIQ19" s="85"/>
      <c r="GIR19" s="85"/>
      <c r="GIS19" s="85"/>
      <c r="GIT19" s="85"/>
      <c r="GIU19" s="85"/>
      <c r="GIV19" s="85"/>
      <c r="GIW19" s="85"/>
      <c r="GIX19" s="85"/>
      <c r="GIY19" s="85"/>
      <c r="GIZ19" s="85"/>
      <c r="GJA19" s="85"/>
      <c r="GJB19" s="85"/>
      <c r="GJC19" s="85"/>
      <c r="GJD19" s="85"/>
      <c r="GJE19" s="85"/>
      <c r="GJF19" s="85"/>
      <c r="GJG19" s="85"/>
      <c r="GJH19" s="85"/>
      <c r="GJI19" s="85"/>
      <c r="GJJ19" s="85"/>
      <c r="GJK19" s="85"/>
      <c r="GJL19" s="85"/>
      <c r="GJM19" s="85"/>
      <c r="GJN19" s="85"/>
      <c r="GJO19" s="85"/>
      <c r="GJP19" s="85"/>
      <c r="GJQ19" s="85"/>
      <c r="GJR19" s="85"/>
      <c r="GJS19" s="85"/>
      <c r="GJT19" s="85"/>
      <c r="GJU19" s="85"/>
      <c r="GJV19" s="85"/>
      <c r="GJW19" s="85"/>
      <c r="GJX19" s="85"/>
      <c r="GJY19" s="85"/>
      <c r="GJZ19" s="85"/>
      <c r="GKA19" s="85"/>
      <c r="GKB19" s="85"/>
      <c r="GKC19" s="85"/>
      <c r="GKD19" s="85"/>
      <c r="GKE19" s="85"/>
      <c r="GKF19" s="85"/>
      <c r="GKG19" s="85"/>
      <c r="GKH19" s="85"/>
      <c r="GKI19" s="85"/>
      <c r="GKJ19" s="85"/>
      <c r="GKK19" s="85"/>
      <c r="GKL19" s="85"/>
      <c r="GKM19" s="85"/>
      <c r="GKN19" s="85"/>
      <c r="GKO19" s="85"/>
      <c r="GKP19" s="85"/>
      <c r="GKQ19" s="85"/>
      <c r="GKR19" s="85"/>
      <c r="GKS19" s="85"/>
      <c r="GKT19" s="85"/>
      <c r="GKU19" s="85"/>
      <c r="GKV19" s="85"/>
      <c r="GKW19" s="85"/>
      <c r="GKX19" s="85"/>
      <c r="GKY19" s="85"/>
      <c r="GKZ19" s="85"/>
      <c r="GLA19" s="85"/>
      <c r="GLB19" s="85"/>
      <c r="GLC19" s="85"/>
      <c r="GLD19" s="85"/>
      <c r="GLE19" s="85"/>
      <c r="GLF19" s="85"/>
      <c r="GLG19" s="85"/>
      <c r="GLH19" s="85"/>
      <c r="GLI19" s="85"/>
      <c r="GLJ19" s="85"/>
      <c r="GLK19" s="85"/>
      <c r="GLL19" s="85"/>
      <c r="GLM19" s="85"/>
      <c r="GLN19" s="85"/>
      <c r="GLO19" s="85"/>
      <c r="GLP19" s="85"/>
      <c r="GLQ19" s="85"/>
      <c r="GLR19" s="85"/>
      <c r="GLS19" s="85"/>
      <c r="GLT19" s="85"/>
      <c r="GLU19" s="85"/>
      <c r="GLV19" s="85"/>
      <c r="GLW19" s="85"/>
      <c r="GLX19" s="85"/>
      <c r="GLY19" s="85"/>
      <c r="GLZ19" s="85"/>
      <c r="GMA19" s="85"/>
      <c r="GMB19" s="85"/>
      <c r="GMC19" s="85"/>
      <c r="GMD19" s="85"/>
      <c r="GME19" s="85"/>
      <c r="GMF19" s="85"/>
      <c r="GMG19" s="85"/>
      <c r="GMH19" s="85"/>
      <c r="GMI19" s="85"/>
      <c r="GMJ19" s="85"/>
      <c r="GMK19" s="85"/>
      <c r="GML19" s="85"/>
      <c r="GMM19" s="85"/>
      <c r="GMN19" s="85"/>
      <c r="GMO19" s="85"/>
      <c r="GMP19" s="85"/>
      <c r="GMQ19" s="85"/>
      <c r="GMR19" s="85"/>
      <c r="GMS19" s="85"/>
      <c r="GMT19" s="85"/>
      <c r="GMU19" s="85"/>
      <c r="GMV19" s="85"/>
      <c r="GMW19" s="85"/>
      <c r="GMX19" s="85"/>
      <c r="GMY19" s="85"/>
      <c r="GMZ19" s="85"/>
      <c r="GNA19" s="85"/>
      <c r="GNB19" s="85"/>
      <c r="GNC19" s="85"/>
      <c r="GND19" s="85"/>
      <c r="GNE19" s="85"/>
      <c r="GNF19" s="85"/>
      <c r="GNG19" s="85"/>
      <c r="GNH19" s="85"/>
      <c r="GNI19" s="85"/>
      <c r="GNJ19" s="85"/>
      <c r="GNK19" s="85"/>
      <c r="GNL19" s="85"/>
      <c r="GNM19" s="85"/>
      <c r="GNN19" s="85"/>
      <c r="GNO19" s="85"/>
      <c r="GNP19" s="85"/>
      <c r="GNQ19" s="85"/>
      <c r="GNR19" s="85"/>
      <c r="GNS19" s="85"/>
      <c r="GNT19" s="85"/>
      <c r="GNU19" s="85"/>
      <c r="GNV19" s="85"/>
      <c r="GNW19" s="85"/>
      <c r="GNX19" s="85"/>
      <c r="GNY19" s="85"/>
      <c r="GNZ19" s="85"/>
      <c r="GOA19" s="85"/>
      <c r="GOB19" s="85"/>
      <c r="GOC19" s="85"/>
      <c r="GOD19" s="85"/>
      <c r="GOE19" s="85"/>
      <c r="GOF19" s="85"/>
      <c r="GOG19" s="85"/>
      <c r="GOH19" s="85"/>
      <c r="GOI19" s="85"/>
      <c r="GOJ19" s="85"/>
      <c r="GOK19" s="85"/>
      <c r="GOL19" s="85"/>
      <c r="GOM19" s="85"/>
      <c r="GON19" s="85"/>
      <c r="GOO19" s="85"/>
      <c r="GOP19" s="85"/>
      <c r="GOQ19" s="85"/>
      <c r="GOR19" s="85"/>
      <c r="GOS19" s="85"/>
      <c r="GOT19" s="85"/>
      <c r="GOU19" s="85"/>
      <c r="GOV19" s="85"/>
      <c r="GOW19" s="85"/>
      <c r="GOX19" s="85"/>
      <c r="GOY19" s="85"/>
      <c r="GOZ19" s="85"/>
      <c r="GPA19" s="85"/>
      <c r="GPB19" s="85"/>
      <c r="GPC19" s="85"/>
      <c r="GPD19" s="85"/>
      <c r="GPE19" s="85"/>
      <c r="GPF19" s="85"/>
      <c r="GPG19" s="85"/>
      <c r="GPH19" s="85"/>
      <c r="GPI19" s="85"/>
      <c r="GPJ19" s="85"/>
      <c r="GPK19" s="85"/>
      <c r="GPL19" s="85"/>
      <c r="GPM19" s="85"/>
      <c r="GPN19" s="85"/>
      <c r="GPO19" s="85"/>
      <c r="GPP19" s="85"/>
      <c r="GPQ19" s="85"/>
      <c r="GPR19" s="85"/>
      <c r="GPS19" s="85"/>
      <c r="GPT19" s="85"/>
      <c r="GPU19" s="85"/>
      <c r="GPV19" s="85"/>
      <c r="GPW19" s="85"/>
      <c r="GPX19" s="85"/>
      <c r="GPY19" s="85"/>
      <c r="GPZ19" s="85"/>
      <c r="GQA19" s="85"/>
      <c r="GQB19" s="85"/>
      <c r="GQC19" s="85"/>
      <c r="GQD19" s="85"/>
      <c r="GQE19" s="85"/>
      <c r="GQF19" s="85"/>
      <c r="GQG19" s="85"/>
      <c r="GQH19" s="85"/>
      <c r="GQI19" s="85"/>
      <c r="GQJ19" s="85"/>
      <c r="GQK19" s="85"/>
      <c r="GQL19" s="85"/>
      <c r="GQM19" s="85"/>
      <c r="GQN19" s="85"/>
      <c r="GQO19" s="85"/>
      <c r="GQP19" s="85"/>
      <c r="GQQ19" s="85"/>
      <c r="GQR19" s="85"/>
      <c r="GQS19" s="85"/>
      <c r="GQT19" s="85"/>
      <c r="GQU19" s="85"/>
      <c r="GQV19" s="85"/>
      <c r="GQW19" s="85"/>
      <c r="GQX19" s="85"/>
      <c r="GQY19" s="85"/>
      <c r="GQZ19" s="85"/>
      <c r="GRA19" s="85"/>
      <c r="GRB19" s="85"/>
      <c r="GRC19" s="85"/>
      <c r="GRD19" s="85"/>
      <c r="GRE19" s="85"/>
      <c r="GRF19" s="85"/>
      <c r="GRG19" s="85"/>
      <c r="GRH19" s="85"/>
      <c r="GRI19" s="85"/>
      <c r="GRJ19" s="85"/>
      <c r="GRK19" s="85"/>
      <c r="GRL19" s="85"/>
      <c r="GRM19" s="85"/>
      <c r="GRN19" s="85"/>
      <c r="GRO19" s="85"/>
      <c r="GRP19" s="85"/>
      <c r="GRQ19" s="85"/>
      <c r="GRR19" s="85"/>
      <c r="GRS19" s="85"/>
      <c r="GRT19" s="85"/>
      <c r="GRU19" s="85"/>
      <c r="GRV19" s="85"/>
      <c r="GRW19" s="85"/>
      <c r="GRX19" s="85"/>
      <c r="GRY19" s="85"/>
      <c r="GRZ19" s="85"/>
      <c r="GSA19" s="85"/>
      <c r="GSB19" s="85"/>
      <c r="GSC19" s="85"/>
      <c r="GSD19" s="85"/>
      <c r="GSE19" s="85"/>
      <c r="GSF19" s="85"/>
      <c r="GSG19" s="85"/>
      <c r="GSH19" s="85"/>
      <c r="GSI19" s="85"/>
      <c r="GSJ19" s="85"/>
      <c r="GSK19" s="85"/>
      <c r="GSL19" s="85"/>
      <c r="GSM19" s="85"/>
      <c r="GSN19" s="85"/>
      <c r="GSO19" s="85"/>
      <c r="GSP19" s="85"/>
      <c r="GSQ19" s="85"/>
      <c r="GSR19" s="85"/>
      <c r="GSS19" s="85"/>
      <c r="GST19" s="85"/>
      <c r="GSU19" s="85"/>
      <c r="GSV19" s="85"/>
      <c r="GSW19" s="85"/>
      <c r="GSX19" s="85"/>
      <c r="GSY19" s="85"/>
      <c r="GSZ19" s="85"/>
      <c r="GTA19" s="85"/>
      <c r="GTB19" s="85"/>
      <c r="GTC19" s="85"/>
      <c r="GTD19" s="85"/>
      <c r="GTE19" s="85"/>
      <c r="GTF19" s="85"/>
      <c r="GTG19" s="85"/>
      <c r="GTH19" s="85"/>
      <c r="GTI19" s="85"/>
      <c r="GTJ19" s="85"/>
      <c r="GTK19" s="85"/>
      <c r="GTL19" s="85"/>
      <c r="GTM19" s="85"/>
      <c r="GTN19" s="85"/>
      <c r="GTO19" s="85"/>
      <c r="GTP19" s="85"/>
      <c r="GTQ19" s="85"/>
      <c r="GTR19" s="85"/>
      <c r="GTS19" s="85"/>
      <c r="GTT19" s="85"/>
      <c r="GTU19" s="85"/>
      <c r="GTV19" s="85"/>
      <c r="GTW19" s="85"/>
      <c r="GTX19" s="85"/>
      <c r="GTY19" s="85"/>
      <c r="GTZ19" s="85"/>
      <c r="GUA19" s="85"/>
      <c r="GUB19" s="85"/>
      <c r="GUC19" s="85"/>
      <c r="GUD19" s="85"/>
      <c r="GUE19" s="85"/>
      <c r="GUF19" s="85"/>
      <c r="GUG19" s="85"/>
      <c r="GUH19" s="85"/>
      <c r="GUI19" s="85"/>
      <c r="GUJ19" s="85"/>
      <c r="GUK19" s="85"/>
      <c r="GUL19" s="85"/>
      <c r="GUM19" s="85"/>
      <c r="GUN19" s="85"/>
      <c r="GUO19" s="85"/>
      <c r="GUP19" s="85"/>
      <c r="GUQ19" s="85"/>
      <c r="GUR19" s="85"/>
      <c r="GUS19" s="85"/>
      <c r="GUT19" s="85"/>
      <c r="GUU19" s="85"/>
      <c r="GUV19" s="85"/>
      <c r="GUW19" s="85"/>
      <c r="GUX19" s="85"/>
      <c r="GUY19" s="85"/>
      <c r="GUZ19" s="85"/>
      <c r="GVA19" s="85"/>
      <c r="GVB19" s="85"/>
      <c r="GVC19" s="85"/>
      <c r="GVD19" s="85"/>
      <c r="GVE19" s="85"/>
      <c r="GVF19" s="85"/>
      <c r="GVG19" s="85"/>
      <c r="GVH19" s="85"/>
      <c r="GVI19" s="85"/>
      <c r="GVJ19" s="85"/>
      <c r="GVK19" s="85"/>
      <c r="GVL19" s="85"/>
      <c r="GVM19" s="85"/>
      <c r="GVN19" s="85"/>
      <c r="GVO19" s="85"/>
      <c r="GVP19" s="85"/>
      <c r="GVQ19" s="85"/>
      <c r="GVR19" s="85"/>
      <c r="GVS19" s="85"/>
      <c r="GVT19" s="85"/>
      <c r="GVU19" s="85"/>
      <c r="GVV19" s="85"/>
      <c r="GVW19" s="85"/>
      <c r="GVX19" s="85"/>
      <c r="GVY19" s="85"/>
      <c r="GVZ19" s="85"/>
      <c r="GWA19" s="85"/>
      <c r="GWB19" s="85"/>
      <c r="GWC19" s="85"/>
      <c r="GWD19" s="85"/>
      <c r="GWE19" s="85"/>
      <c r="GWF19" s="85"/>
      <c r="GWG19" s="85"/>
      <c r="GWH19" s="85"/>
      <c r="GWI19" s="85"/>
      <c r="GWJ19" s="85"/>
      <c r="GWK19" s="85"/>
      <c r="GWL19" s="85"/>
      <c r="GWM19" s="85"/>
      <c r="GWN19" s="85"/>
      <c r="GWO19" s="85"/>
      <c r="GWP19" s="85"/>
      <c r="GWQ19" s="85"/>
      <c r="GWR19" s="85"/>
      <c r="GWS19" s="85"/>
      <c r="GWT19" s="85"/>
      <c r="GWU19" s="85"/>
      <c r="GWV19" s="85"/>
      <c r="GWW19" s="85"/>
      <c r="GWX19" s="85"/>
      <c r="GWY19" s="85"/>
      <c r="GWZ19" s="85"/>
      <c r="GXA19" s="85"/>
      <c r="GXB19" s="85"/>
      <c r="GXC19" s="85"/>
      <c r="GXD19" s="85"/>
      <c r="GXE19" s="85"/>
      <c r="GXF19" s="85"/>
      <c r="GXG19" s="85"/>
      <c r="GXH19" s="85"/>
      <c r="GXI19" s="85"/>
      <c r="GXJ19" s="85"/>
      <c r="GXK19" s="85"/>
      <c r="GXL19" s="85"/>
      <c r="GXM19" s="85"/>
      <c r="GXN19" s="85"/>
      <c r="GXO19" s="85"/>
      <c r="GXP19" s="85"/>
      <c r="GXQ19" s="85"/>
      <c r="GXR19" s="85"/>
      <c r="GXS19" s="85"/>
      <c r="GXT19" s="85"/>
      <c r="GXU19" s="85"/>
      <c r="GXV19" s="85"/>
      <c r="GXW19" s="85"/>
      <c r="GXX19" s="85"/>
      <c r="GXY19" s="85"/>
      <c r="GXZ19" s="85"/>
      <c r="GYA19" s="85"/>
      <c r="GYB19" s="85"/>
      <c r="GYC19" s="85"/>
      <c r="GYD19" s="85"/>
      <c r="GYE19" s="85"/>
      <c r="GYF19" s="85"/>
      <c r="GYG19" s="85"/>
      <c r="GYH19" s="85"/>
      <c r="GYI19" s="85"/>
      <c r="GYJ19" s="85"/>
      <c r="GYK19" s="85"/>
      <c r="GYL19" s="85"/>
      <c r="GYM19" s="85"/>
      <c r="GYN19" s="85"/>
      <c r="GYO19" s="85"/>
      <c r="GYP19" s="85"/>
      <c r="GYQ19" s="85"/>
      <c r="GYR19" s="85"/>
      <c r="GYS19" s="85"/>
      <c r="GYT19" s="85"/>
      <c r="GYU19" s="85"/>
      <c r="GYV19" s="85"/>
      <c r="GYW19" s="85"/>
      <c r="GYX19" s="85"/>
      <c r="GYY19" s="85"/>
      <c r="GYZ19" s="85"/>
      <c r="GZA19" s="85"/>
      <c r="GZB19" s="85"/>
      <c r="GZC19" s="85"/>
      <c r="GZD19" s="85"/>
      <c r="GZE19" s="85"/>
      <c r="GZF19" s="85"/>
      <c r="GZG19" s="85"/>
      <c r="GZH19" s="85"/>
      <c r="GZI19" s="85"/>
      <c r="GZJ19" s="85"/>
      <c r="GZK19" s="85"/>
      <c r="GZL19" s="85"/>
      <c r="GZM19" s="85"/>
      <c r="GZN19" s="85"/>
      <c r="GZO19" s="85"/>
      <c r="GZP19" s="85"/>
      <c r="GZQ19" s="85"/>
      <c r="GZR19" s="85"/>
      <c r="GZS19" s="85"/>
      <c r="GZT19" s="85"/>
      <c r="GZU19" s="85"/>
      <c r="GZV19" s="85"/>
      <c r="GZW19" s="85"/>
      <c r="GZX19" s="85"/>
      <c r="GZY19" s="85"/>
      <c r="GZZ19" s="85"/>
      <c r="HAA19" s="85"/>
      <c r="HAB19" s="85"/>
      <c r="HAC19" s="85"/>
      <c r="HAD19" s="85"/>
      <c r="HAE19" s="85"/>
      <c r="HAF19" s="85"/>
      <c r="HAG19" s="85"/>
      <c r="HAH19" s="85"/>
      <c r="HAI19" s="85"/>
      <c r="HAJ19" s="85"/>
      <c r="HAK19" s="85"/>
      <c r="HAL19" s="85"/>
      <c r="HAM19" s="85"/>
      <c r="HAN19" s="85"/>
      <c r="HAO19" s="85"/>
      <c r="HAP19" s="85"/>
      <c r="HAQ19" s="85"/>
      <c r="HAR19" s="85"/>
      <c r="HAS19" s="85"/>
      <c r="HAT19" s="85"/>
      <c r="HAU19" s="85"/>
      <c r="HAV19" s="85"/>
      <c r="HAW19" s="85"/>
      <c r="HAX19" s="85"/>
      <c r="HAY19" s="85"/>
      <c r="HAZ19" s="85"/>
      <c r="HBA19" s="85"/>
      <c r="HBB19" s="85"/>
      <c r="HBC19" s="85"/>
      <c r="HBD19" s="85"/>
      <c r="HBE19" s="85"/>
      <c r="HBF19" s="85"/>
      <c r="HBG19" s="85"/>
      <c r="HBH19" s="85"/>
      <c r="HBI19" s="85"/>
      <c r="HBJ19" s="85"/>
      <c r="HBK19" s="85"/>
      <c r="HBL19" s="85"/>
      <c r="HBM19" s="85"/>
      <c r="HBN19" s="85"/>
      <c r="HBO19" s="85"/>
      <c r="HBP19" s="85"/>
      <c r="HBQ19" s="85"/>
      <c r="HBR19" s="85"/>
      <c r="HBS19" s="85"/>
      <c r="HBT19" s="85"/>
      <c r="HBU19" s="85"/>
      <c r="HBV19" s="85"/>
      <c r="HBW19" s="85"/>
      <c r="HBX19" s="85"/>
      <c r="HBY19" s="85"/>
      <c r="HBZ19" s="85"/>
      <c r="HCA19" s="85"/>
      <c r="HCB19" s="85"/>
      <c r="HCC19" s="85"/>
      <c r="HCD19" s="85"/>
      <c r="HCE19" s="85"/>
      <c r="HCF19" s="85"/>
      <c r="HCG19" s="85"/>
      <c r="HCH19" s="85"/>
      <c r="HCI19" s="85"/>
      <c r="HCJ19" s="85"/>
      <c r="HCK19" s="85"/>
      <c r="HCL19" s="85"/>
      <c r="HCM19" s="85"/>
      <c r="HCN19" s="85"/>
      <c r="HCO19" s="85"/>
      <c r="HCP19" s="85"/>
      <c r="HCQ19" s="85"/>
      <c r="HCR19" s="85"/>
      <c r="HCS19" s="85"/>
      <c r="HCT19" s="85"/>
      <c r="HCU19" s="85"/>
      <c r="HCV19" s="85"/>
      <c r="HCW19" s="85"/>
      <c r="HCX19" s="85"/>
      <c r="HCY19" s="85"/>
      <c r="HCZ19" s="85"/>
      <c r="HDA19" s="85"/>
      <c r="HDB19" s="85"/>
      <c r="HDC19" s="85"/>
      <c r="HDD19" s="85"/>
      <c r="HDE19" s="85"/>
      <c r="HDF19" s="85"/>
      <c r="HDG19" s="85"/>
      <c r="HDH19" s="85"/>
      <c r="HDI19" s="85"/>
      <c r="HDJ19" s="85"/>
      <c r="HDK19" s="85"/>
      <c r="HDL19" s="85"/>
      <c r="HDM19" s="85"/>
      <c r="HDN19" s="85"/>
      <c r="HDO19" s="85"/>
      <c r="HDP19" s="85"/>
      <c r="HDQ19" s="85"/>
      <c r="HDR19" s="85"/>
      <c r="HDS19" s="85"/>
      <c r="HDT19" s="85"/>
      <c r="HDU19" s="85"/>
      <c r="HDV19" s="85"/>
      <c r="HDW19" s="85"/>
      <c r="HDX19" s="85"/>
      <c r="HDY19" s="85"/>
      <c r="HDZ19" s="85"/>
      <c r="HEA19" s="85"/>
      <c r="HEB19" s="85"/>
      <c r="HEC19" s="85"/>
      <c r="HED19" s="85"/>
      <c r="HEE19" s="85"/>
      <c r="HEF19" s="85"/>
      <c r="HEG19" s="85"/>
      <c r="HEH19" s="85"/>
      <c r="HEI19" s="85"/>
      <c r="HEJ19" s="85"/>
      <c r="HEK19" s="85"/>
      <c r="HEL19" s="85"/>
      <c r="HEM19" s="85"/>
      <c r="HEN19" s="85"/>
      <c r="HEO19" s="85"/>
      <c r="HEP19" s="85"/>
      <c r="HEQ19" s="85"/>
      <c r="HER19" s="85"/>
      <c r="HES19" s="85"/>
      <c r="HET19" s="85"/>
      <c r="HEU19" s="85"/>
      <c r="HEV19" s="85"/>
      <c r="HEW19" s="85"/>
      <c r="HEX19" s="85"/>
      <c r="HEY19" s="85"/>
      <c r="HEZ19" s="85"/>
      <c r="HFA19" s="85"/>
      <c r="HFB19" s="85"/>
      <c r="HFC19" s="85"/>
      <c r="HFD19" s="85"/>
      <c r="HFE19" s="85"/>
      <c r="HFF19" s="85"/>
      <c r="HFG19" s="85"/>
      <c r="HFH19" s="85"/>
      <c r="HFI19" s="85"/>
      <c r="HFJ19" s="85"/>
      <c r="HFK19" s="85"/>
      <c r="HFL19" s="85"/>
      <c r="HFM19" s="85"/>
      <c r="HFN19" s="85"/>
      <c r="HFO19" s="85"/>
      <c r="HFP19" s="85"/>
      <c r="HFQ19" s="85"/>
      <c r="HFR19" s="85"/>
      <c r="HFS19" s="85"/>
      <c r="HFT19" s="85"/>
      <c r="HFU19" s="85"/>
      <c r="HFV19" s="85"/>
      <c r="HFW19" s="85"/>
      <c r="HFX19" s="85"/>
      <c r="HFY19" s="85"/>
      <c r="HFZ19" s="85"/>
      <c r="HGA19" s="85"/>
      <c r="HGB19" s="85"/>
      <c r="HGC19" s="85"/>
      <c r="HGD19" s="85"/>
      <c r="HGE19" s="85"/>
      <c r="HGF19" s="85"/>
      <c r="HGG19" s="85"/>
      <c r="HGH19" s="85"/>
      <c r="HGI19" s="85"/>
      <c r="HGJ19" s="85"/>
      <c r="HGK19" s="85"/>
      <c r="HGL19" s="85"/>
      <c r="HGM19" s="85"/>
      <c r="HGN19" s="85"/>
      <c r="HGO19" s="85"/>
      <c r="HGP19" s="85"/>
      <c r="HGQ19" s="85"/>
      <c r="HGR19" s="85"/>
      <c r="HGS19" s="85"/>
      <c r="HGT19" s="85"/>
      <c r="HGU19" s="85"/>
      <c r="HGV19" s="85"/>
      <c r="HGW19" s="85"/>
      <c r="HGX19" s="85"/>
      <c r="HGY19" s="85"/>
      <c r="HGZ19" s="85"/>
      <c r="HHA19" s="85"/>
      <c r="HHB19" s="85"/>
      <c r="HHC19" s="85"/>
      <c r="HHD19" s="85"/>
      <c r="HHE19" s="85"/>
      <c r="HHF19" s="85"/>
      <c r="HHG19" s="85"/>
      <c r="HHH19" s="85"/>
      <c r="HHI19" s="85"/>
      <c r="HHJ19" s="85"/>
      <c r="HHK19" s="85"/>
      <c r="HHL19" s="85"/>
      <c r="HHM19" s="85"/>
      <c r="HHN19" s="85"/>
      <c r="HHO19" s="85"/>
      <c r="HHP19" s="85"/>
      <c r="HHQ19" s="85"/>
      <c r="HHR19" s="85"/>
      <c r="HHS19" s="85"/>
      <c r="HHT19" s="85"/>
      <c r="HHU19" s="85"/>
      <c r="HHV19" s="85"/>
      <c r="HHW19" s="85"/>
      <c r="HHX19" s="85"/>
      <c r="HHY19" s="85"/>
      <c r="HHZ19" s="85"/>
      <c r="HIA19" s="85"/>
      <c r="HIB19" s="85"/>
      <c r="HIC19" s="85"/>
      <c r="HID19" s="85"/>
      <c r="HIE19" s="85"/>
      <c r="HIF19" s="85"/>
      <c r="HIG19" s="85"/>
      <c r="HIH19" s="85"/>
      <c r="HII19" s="85"/>
      <c r="HIJ19" s="85"/>
      <c r="HIK19" s="85"/>
      <c r="HIL19" s="85"/>
      <c r="HIM19" s="85"/>
      <c r="HIN19" s="85"/>
      <c r="HIO19" s="85"/>
      <c r="HIP19" s="85"/>
      <c r="HIQ19" s="85"/>
      <c r="HIR19" s="85"/>
      <c r="HIS19" s="85"/>
      <c r="HIT19" s="85"/>
      <c r="HIU19" s="85"/>
      <c r="HIV19" s="85"/>
      <c r="HIW19" s="85"/>
      <c r="HIX19" s="85"/>
      <c r="HIY19" s="85"/>
      <c r="HIZ19" s="85"/>
      <c r="HJA19" s="85"/>
      <c r="HJB19" s="85"/>
      <c r="HJC19" s="85"/>
      <c r="HJD19" s="85"/>
      <c r="HJE19" s="85"/>
      <c r="HJF19" s="85"/>
      <c r="HJG19" s="85"/>
      <c r="HJH19" s="85"/>
      <c r="HJI19" s="85"/>
      <c r="HJJ19" s="85"/>
      <c r="HJK19" s="85"/>
      <c r="HJL19" s="85"/>
      <c r="HJM19" s="85"/>
      <c r="HJN19" s="85"/>
      <c r="HJO19" s="85"/>
      <c r="HJP19" s="85"/>
      <c r="HJQ19" s="85"/>
      <c r="HJR19" s="85"/>
      <c r="HJS19" s="85"/>
      <c r="HJT19" s="85"/>
      <c r="HJU19" s="85"/>
      <c r="HJV19" s="85"/>
      <c r="HJW19" s="85"/>
      <c r="HJX19" s="85"/>
      <c r="HJY19" s="85"/>
      <c r="HJZ19" s="85"/>
      <c r="HKA19" s="85"/>
      <c r="HKB19" s="85"/>
      <c r="HKC19" s="85"/>
      <c r="HKD19" s="85"/>
      <c r="HKE19" s="85"/>
      <c r="HKF19" s="85"/>
      <c r="HKG19" s="85"/>
      <c r="HKH19" s="85"/>
      <c r="HKI19" s="85"/>
      <c r="HKJ19" s="85"/>
      <c r="HKK19" s="85"/>
      <c r="HKL19" s="85"/>
      <c r="HKM19" s="85"/>
      <c r="HKN19" s="85"/>
      <c r="HKO19" s="85"/>
      <c r="HKP19" s="85"/>
      <c r="HKQ19" s="85"/>
      <c r="HKR19" s="85"/>
      <c r="HKS19" s="85"/>
      <c r="HKT19" s="85"/>
      <c r="HKU19" s="85"/>
      <c r="HKV19" s="85"/>
      <c r="HKW19" s="85"/>
      <c r="HKX19" s="85"/>
      <c r="HKY19" s="85"/>
      <c r="HKZ19" s="85"/>
      <c r="HLA19" s="85"/>
      <c r="HLB19" s="85"/>
      <c r="HLC19" s="85"/>
      <c r="HLD19" s="85"/>
      <c r="HLE19" s="85"/>
      <c r="HLF19" s="85"/>
      <c r="HLG19" s="85"/>
      <c r="HLH19" s="85"/>
      <c r="HLI19" s="85"/>
      <c r="HLJ19" s="85"/>
      <c r="HLK19" s="85"/>
      <c r="HLL19" s="85"/>
      <c r="HLM19" s="85"/>
      <c r="HLN19" s="85"/>
      <c r="HLO19" s="85"/>
      <c r="HLP19" s="85"/>
      <c r="HLQ19" s="85"/>
      <c r="HLR19" s="85"/>
      <c r="HLS19" s="85"/>
      <c r="HLT19" s="85"/>
      <c r="HLU19" s="85"/>
      <c r="HLV19" s="85"/>
      <c r="HLW19" s="85"/>
      <c r="HLX19" s="85"/>
      <c r="HLY19" s="85"/>
      <c r="HLZ19" s="85"/>
      <c r="HMA19" s="85"/>
      <c r="HMB19" s="85"/>
      <c r="HMC19" s="85"/>
      <c r="HMD19" s="85"/>
      <c r="HME19" s="85"/>
      <c r="HMF19" s="85"/>
      <c r="HMG19" s="85"/>
      <c r="HMH19" s="85"/>
      <c r="HMI19" s="85"/>
      <c r="HMJ19" s="85"/>
      <c r="HMK19" s="85"/>
      <c r="HML19" s="85"/>
      <c r="HMM19" s="85"/>
      <c r="HMN19" s="85"/>
      <c r="HMO19" s="85"/>
      <c r="HMP19" s="85"/>
      <c r="HMQ19" s="85"/>
      <c r="HMR19" s="85"/>
      <c r="HMS19" s="85"/>
      <c r="HMT19" s="85"/>
      <c r="HMU19" s="85"/>
      <c r="HMV19" s="85"/>
      <c r="HMW19" s="85"/>
      <c r="HMX19" s="85"/>
      <c r="HMY19" s="85"/>
      <c r="HMZ19" s="85"/>
      <c r="HNA19" s="85"/>
      <c r="HNB19" s="85"/>
      <c r="HNC19" s="85"/>
      <c r="HND19" s="85"/>
      <c r="HNE19" s="85"/>
      <c r="HNF19" s="85"/>
      <c r="HNG19" s="85"/>
      <c r="HNH19" s="85"/>
      <c r="HNI19" s="85"/>
      <c r="HNJ19" s="85"/>
      <c r="HNK19" s="85"/>
      <c r="HNL19" s="85"/>
      <c r="HNM19" s="85"/>
      <c r="HNN19" s="85"/>
      <c r="HNO19" s="85"/>
      <c r="HNP19" s="85"/>
      <c r="HNQ19" s="85"/>
      <c r="HNR19" s="85"/>
      <c r="HNS19" s="85"/>
      <c r="HNT19" s="85"/>
      <c r="HNU19" s="85"/>
      <c r="HNV19" s="85"/>
      <c r="HNW19" s="85"/>
      <c r="HNX19" s="85"/>
      <c r="HNY19" s="85"/>
      <c r="HNZ19" s="85"/>
      <c r="HOA19" s="85"/>
      <c r="HOB19" s="85"/>
      <c r="HOC19" s="85"/>
      <c r="HOD19" s="85"/>
      <c r="HOE19" s="85"/>
      <c r="HOF19" s="85"/>
      <c r="HOG19" s="85"/>
      <c r="HOH19" s="85"/>
      <c r="HOI19" s="85"/>
      <c r="HOJ19" s="85"/>
      <c r="HOK19" s="85"/>
      <c r="HOL19" s="85"/>
      <c r="HOM19" s="85"/>
      <c r="HON19" s="85"/>
      <c r="HOO19" s="85"/>
      <c r="HOP19" s="85"/>
      <c r="HOQ19" s="85"/>
      <c r="HOR19" s="85"/>
      <c r="HOS19" s="85"/>
      <c r="HOT19" s="85"/>
      <c r="HOU19" s="85"/>
      <c r="HOV19" s="85"/>
      <c r="HOW19" s="85"/>
      <c r="HOX19" s="85"/>
      <c r="HOY19" s="85"/>
      <c r="HOZ19" s="85"/>
      <c r="HPA19" s="85"/>
      <c r="HPB19" s="85"/>
      <c r="HPC19" s="85"/>
      <c r="HPD19" s="85"/>
      <c r="HPE19" s="85"/>
      <c r="HPF19" s="85"/>
      <c r="HPG19" s="85"/>
      <c r="HPH19" s="85"/>
      <c r="HPI19" s="85"/>
      <c r="HPJ19" s="85"/>
      <c r="HPK19" s="85"/>
      <c r="HPL19" s="85"/>
      <c r="HPM19" s="85"/>
      <c r="HPN19" s="85"/>
      <c r="HPO19" s="85"/>
      <c r="HPP19" s="85"/>
      <c r="HPQ19" s="85"/>
      <c r="HPR19" s="85"/>
      <c r="HPS19" s="85"/>
      <c r="HPT19" s="85"/>
      <c r="HPU19" s="85"/>
      <c r="HPV19" s="85"/>
      <c r="HPW19" s="85"/>
      <c r="HPX19" s="85"/>
      <c r="HPY19" s="85"/>
      <c r="HPZ19" s="85"/>
      <c r="HQA19" s="85"/>
      <c r="HQB19" s="85"/>
      <c r="HQC19" s="85"/>
      <c r="HQD19" s="85"/>
      <c r="HQE19" s="85"/>
      <c r="HQF19" s="85"/>
      <c r="HQG19" s="85"/>
      <c r="HQH19" s="85"/>
      <c r="HQI19" s="85"/>
      <c r="HQJ19" s="85"/>
      <c r="HQK19" s="85"/>
      <c r="HQL19" s="85"/>
      <c r="HQM19" s="85"/>
      <c r="HQN19" s="85"/>
      <c r="HQO19" s="85"/>
      <c r="HQP19" s="85"/>
      <c r="HQQ19" s="85"/>
      <c r="HQR19" s="85"/>
      <c r="HQS19" s="85"/>
      <c r="HQT19" s="85"/>
      <c r="HQU19" s="85"/>
      <c r="HQV19" s="85"/>
      <c r="HQW19" s="85"/>
      <c r="HQX19" s="85"/>
      <c r="HQY19" s="85"/>
      <c r="HQZ19" s="85"/>
      <c r="HRA19" s="85"/>
      <c r="HRB19" s="85"/>
      <c r="HRC19" s="85"/>
      <c r="HRD19" s="85"/>
      <c r="HRE19" s="85"/>
      <c r="HRF19" s="85"/>
      <c r="HRG19" s="85"/>
      <c r="HRH19" s="85"/>
      <c r="HRI19" s="85"/>
      <c r="HRJ19" s="85"/>
      <c r="HRK19" s="85"/>
      <c r="HRL19" s="85"/>
      <c r="HRM19" s="85"/>
      <c r="HRN19" s="85"/>
      <c r="HRO19" s="85"/>
      <c r="HRP19" s="85"/>
      <c r="HRQ19" s="85"/>
      <c r="HRR19" s="85"/>
      <c r="HRS19" s="85"/>
      <c r="HRT19" s="85"/>
      <c r="HRU19" s="85"/>
      <c r="HRV19" s="85"/>
      <c r="HRW19" s="85"/>
      <c r="HRX19" s="85"/>
      <c r="HRY19" s="85"/>
      <c r="HRZ19" s="85"/>
      <c r="HSA19" s="85"/>
      <c r="HSB19" s="85"/>
      <c r="HSC19" s="85"/>
      <c r="HSD19" s="85"/>
      <c r="HSE19" s="85"/>
      <c r="HSF19" s="85"/>
      <c r="HSG19" s="85"/>
      <c r="HSH19" s="85"/>
      <c r="HSI19" s="85"/>
      <c r="HSJ19" s="85"/>
      <c r="HSK19" s="85"/>
      <c r="HSL19" s="85"/>
      <c r="HSM19" s="85"/>
      <c r="HSN19" s="85"/>
      <c r="HSO19" s="85"/>
      <c r="HSP19" s="85"/>
      <c r="HSQ19" s="85"/>
      <c r="HSR19" s="85"/>
      <c r="HSS19" s="85"/>
      <c r="HST19" s="85"/>
      <c r="HSU19" s="85"/>
      <c r="HSV19" s="85"/>
      <c r="HSW19" s="85"/>
      <c r="HSX19" s="85"/>
      <c r="HSY19" s="85"/>
      <c r="HSZ19" s="85"/>
      <c r="HTA19" s="85"/>
      <c r="HTB19" s="85"/>
      <c r="HTC19" s="85"/>
      <c r="HTD19" s="85"/>
      <c r="HTE19" s="85"/>
      <c r="HTF19" s="85"/>
      <c r="HTG19" s="85"/>
      <c r="HTH19" s="85"/>
      <c r="HTI19" s="85"/>
      <c r="HTJ19" s="85"/>
      <c r="HTK19" s="85"/>
      <c r="HTL19" s="85"/>
      <c r="HTM19" s="85"/>
      <c r="HTN19" s="85"/>
      <c r="HTO19" s="85"/>
      <c r="HTP19" s="85"/>
      <c r="HTQ19" s="85"/>
      <c r="HTR19" s="85"/>
      <c r="HTS19" s="85"/>
      <c r="HTT19" s="85"/>
      <c r="HTU19" s="85"/>
      <c r="HTV19" s="85"/>
      <c r="HTW19" s="85"/>
      <c r="HTX19" s="85"/>
      <c r="HTY19" s="85"/>
      <c r="HTZ19" s="85"/>
      <c r="HUA19" s="85"/>
      <c r="HUB19" s="85"/>
      <c r="HUC19" s="85"/>
      <c r="HUD19" s="85"/>
      <c r="HUE19" s="85"/>
      <c r="HUF19" s="85"/>
      <c r="HUG19" s="85"/>
      <c r="HUH19" s="85"/>
      <c r="HUI19" s="85"/>
      <c r="HUJ19" s="85"/>
      <c r="HUK19" s="85"/>
      <c r="HUL19" s="85"/>
      <c r="HUM19" s="85"/>
      <c r="HUN19" s="85"/>
      <c r="HUO19" s="85"/>
      <c r="HUP19" s="85"/>
      <c r="HUQ19" s="85"/>
      <c r="HUR19" s="85"/>
      <c r="HUS19" s="85"/>
      <c r="HUT19" s="85"/>
      <c r="HUU19" s="85"/>
      <c r="HUV19" s="85"/>
      <c r="HUW19" s="85"/>
      <c r="HUX19" s="85"/>
      <c r="HUY19" s="85"/>
      <c r="HUZ19" s="85"/>
      <c r="HVA19" s="85"/>
      <c r="HVB19" s="85"/>
      <c r="HVC19" s="85"/>
      <c r="HVD19" s="85"/>
      <c r="HVE19" s="85"/>
      <c r="HVF19" s="85"/>
      <c r="HVG19" s="85"/>
      <c r="HVH19" s="85"/>
      <c r="HVI19" s="85"/>
      <c r="HVJ19" s="85"/>
      <c r="HVK19" s="85"/>
      <c r="HVL19" s="85"/>
      <c r="HVM19" s="85"/>
      <c r="HVN19" s="85"/>
      <c r="HVO19" s="85"/>
      <c r="HVP19" s="85"/>
      <c r="HVQ19" s="85"/>
      <c r="HVR19" s="85"/>
      <c r="HVS19" s="85"/>
      <c r="HVT19" s="85"/>
      <c r="HVU19" s="85"/>
      <c r="HVV19" s="85"/>
      <c r="HVW19" s="85"/>
      <c r="HVX19" s="85"/>
      <c r="HVY19" s="85"/>
      <c r="HVZ19" s="85"/>
      <c r="HWA19" s="85"/>
      <c r="HWB19" s="85"/>
      <c r="HWC19" s="85"/>
      <c r="HWD19" s="85"/>
      <c r="HWE19" s="85"/>
      <c r="HWF19" s="85"/>
      <c r="HWG19" s="85"/>
      <c r="HWH19" s="85"/>
      <c r="HWI19" s="85"/>
      <c r="HWJ19" s="85"/>
      <c r="HWK19" s="85"/>
      <c r="HWL19" s="85"/>
      <c r="HWM19" s="85"/>
      <c r="HWN19" s="85"/>
      <c r="HWO19" s="85"/>
      <c r="HWP19" s="85"/>
      <c r="HWQ19" s="85"/>
      <c r="HWR19" s="85"/>
      <c r="HWS19" s="85"/>
      <c r="HWT19" s="85"/>
      <c r="HWU19" s="85"/>
      <c r="HWV19" s="85"/>
      <c r="HWW19" s="85"/>
      <c r="HWX19" s="85"/>
      <c r="HWY19" s="85"/>
      <c r="HWZ19" s="85"/>
      <c r="HXA19" s="85"/>
      <c r="HXB19" s="85"/>
      <c r="HXC19" s="85"/>
      <c r="HXD19" s="85"/>
      <c r="HXE19" s="85"/>
      <c r="HXF19" s="85"/>
      <c r="HXG19" s="85"/>
      <c r="HXH19" s="85"/>
      <c r="HXI19" s="85"/>
      <c r="HXJ19" s="85"/>
      <c r="HXK19" s="85"/>
      <c r="HXL19" s="85"/>
      <c r="HXM19" s="85"/>
      <c r="HXN19" s="85"/>
      <c r="HXO19" s="85"/>
      <c r="HXP19" s="85"/>
      <c r="HXQ19" s="85"/>
      <c r="HXR19" s="85"/>
      <c r="HXS19" s="85"/>
      <c r="HXT19" s="85"/>
      <c r="HXU19" s="85"/>
      <c r="HXV19" s="85"/>
      <c r="HXW19" s="85"/>
      <c r="HXX19" s="85"/>
      <c r="HXY19" s="85"/>
      <c r="HXZ19" s="85"/>
      <c r="HYA19" s="85"/>
      <c r="HYB19" s="85"/>
      <c r="HYC19" s="85"/>
      <c r="HYD19" s="85"/>
      <c r="HYE19" s="85"/>
      <c r="HYF19" s="85"/>
      <c r="HYG19" s="85"/>
      <c r="HYH19" s="85"/>
      <c r="HYI19" s="85"/>
      <c r="HYJ19" s="85"/>
      <c r="HYK19" s="85"/>
      <c r="HYL19" s="85"/>
      <c r="HYM19" s="85"/>
      <c r="HYN19" s="85"/>
      <c r="HYO19" s="85"/>
      <c r="HYP19" s="85"/>
      <c r="HYQ19" s="85"/>
      <c r="HYR19" s="85"/>
      <c r="HYS19" s="85"/>
      <c r="HYT19" s="85"/>
      <c r="HYU19" s="85"/>
      <c r="HYV19" s="85"/>
      <c r="HYW19" s="85"/>
      <c r="HYX19" s="85"/>
      <c r="HYY19" s="85"/>
      <c r="HYZ19" s="85"/>
      <c r="HZA19" s="85"/>
      <c r="HZB19" s="85"/>
      <c r="HZC19" s="85"/>
      <c r="HZD19" s="85"/>
      <c r="HZE19" s="85"/>
      <c r="HZF19" s="85"/>
      <c r="HZG19" s="85"/>
      <c r="HZH19" s="85"/>
      <c r="HZI19" s="85"/>
      <c r="HZJ19" s="85"/>
      <c r="HZK19" s="85"/>
      <c r="HZL19" s="85"/>
      <c r="HZM19" s="85"/>
      <c r="HZN19" s="85"/>
      <c r="HZO19" s="85"/>
      <c r="HZP19" s="85"/>
      <c r="HZQ19" s="85"/>
      <c r="HZR19" s="85"/>
      <c r="HZS19" s="85"/>
      <c r="HZT19" s="85"/>
      <c r="HZU19" s="85"/>
      <c r="HZV19" s="85"/>
      <c r="HZW19" s="85"/>
      <c r="HZX19" s="85"/>
      <c r="HZY19" s="85"/>
      <c r="HZZ19" s="85"/>
      <c r="IAA19" s="85"/>
      <c r="IAB19" s="85"/>
      <c r="IAC19" s="85"/>
      <c r="IAD19" s="85"/>
      <c r="IAE19" s="85"/>
      <c r="IAF19" s="85"/>
      <c r="IAG19" s="85"/>
      <c r="IAH19" s="85"/>
      <c r="IAI19" s="85"/>
      <c r="IAJ19" s="85"/>
      <c r="IAK19" s="85"/>
      <c r="IAL19" s="85"/>
      <c r="IAM19" s="85"/>
      <c r="IAN19" s="85"/>
      <c r="IAO19" s="85"/>
      <c r="IAP19" s="85"/>
      <c r="IAQ19" s="85"/>
      <c r="IAR19" s="85"/>
      <c r="IAS19" s="85"/>
      <c r="IAT19" s="85"/>
      <c r="IAU19" s="85"/>
      <c r="IAV19" s="85"/>
      <c r="IAW19" s="85"/>
      <c r="IAX19" s="85"/>
      <c r="IAY19" s="85"/>
      <c r="IAZ19" s="85"/>
      <c r="IBA19" s="85"/>
      <c r="IBB19" s="85"/>
      <c r="IBC19" s="85"/>
      <c r="IBD19" s="85"/>
      <c r="IBE19" s="85"/>
      <c r="IBF19" s="85"/>
      <c r="IBG19" s="85"/>
      <c r="IBH19" s="85"/>
      <c r="IBI19" s="85"/>
      <c r="IBJ19" s="85"/>
      <c r="IBK19" s="85"/>
      <c r="IBL19" s="85"/>
      <c r="IBM19" s="85"/>
      <c r="IBN19" s="85"/>
      <c r="IBO19" s="85"/>
      <c r="IBP19" s="85"/>
      <c r="IBQ19" s="85"/>
      <c r="IBR19" s="85"/>
      <c r="IBS19" s="85"/>
      <c r="IBT19" s="85"/>
      <c r="IBU19" s="85"/>
      <c r="IBV19" s="85"/>
      <c r="IBW19" s="85"/>
      <c r="IBX19" s="85"/>
      <c r="IBY19" s="85"/>
      <c r="IBZ19" s="85"/>
      <c r="ICA19" s="85"/>
      <c r="ICB19" s="85"/>
      <c r="ICC19" s="85"/>
      <c r="ICD19" s="85"/>
      <c r="ICE19" s="85"/>
      <c r="ICF19" s="85"/>
      <c r="ICG19" s="85"/>
      <c r="ICH19" s="85"/>
      <c r="ICI19" s="85"/>
      <c r="ICJ19" s="85"/>
      <c r="ICK19" s="85"/>
      <c r="ICL19" s="85"/>
      <c r="ICM19" s="85"/>
      <c r="ICN19" s="85"/>
      <c r="ICO19" s="85"/>
      <c r="ICP19" s="85"/>
      <c r="ICQ19" s="85"/>
      <c r="ICR19" s="85"/>
      <c r="ICS19" s="85"/>
      <c r="ICT19" s="85"/>
      <c r="ICU19" s="85"/>
      <c r="ICV19" s="85"/>
      <c r="ICW19" s="85"/>
      <c r="ICX19" s="85"/>
      <c r="ICY19" s="85"/>
      <c r="ICZ19" s="85"/>
      <c r="IDA19" s="85"/>
      <c r="IDB19" s="85"/>
      <c r="IDC19" s="85"/>
      <c r="IDD19" s="85"/>
      <c r="IDE19" s="85"/>
      <c r="IDF19" s="85"/>
      <c r="IDG19" s="85"/>
      <c r="IDH19" s="85"/>
      <c r="IDI19" s="85"/>
      <c r="IDJ19" s="85"/>
      <c r="IDK19" s="85"/>
      <c r="IDL19" s="85"/>
      <c r="IDM19" s="85"/>
      <c r="IDN19" s="85"/>
      <c r="IDO19" s="85"/>
      <c r="IDP19" s="85"/>
      <c r="IDQ19" s="85"/>
      <c r="IDR19" s="85"/>
      <c r="IDS19" s="85"/>
      <c r="IDT19" s="85"/>
      <c r="IDU19" s="85"/>
      <c r="IDV19" s="85"/>
      <c r="IDW19" s="85"/>
      <c r="IDX19" s="85"/>
      <c r="IDY19" s="85"/>
      <c r="IDZ19" s="85"/>
      <c r="IEA19" s="85"/>
      <c r="IEB19" s="85"/>
      <c r="IEC19" s="85"/>
      <c r="IED19" s="85"/>
      <c r="IEE19" s="85"/>
      <c r="IEF19" s="85"/>
      <c r="IEG19" s="85"/>
      <c r="IEH19" s="85"/>
      <c r="IEI19" s="85"/>
      <c r="IEJ19" s="85"/>
      <c r="IEK19" s="85"/>
      <c r="IEL19" s="85"/>
      <c r="IEM19" s="85"/>
      <c r="IEN19" s="85"/>
      <c r="IEO19" s="85"/>
      <c r="IEP19" s="85"/>
      <c r="IEQ19" s="85"/>
      <c r="IER19" s="85"/>
      <c r="IES19" s="85"/>
      <c r="IET19" s="85"/>
      <c r="IEU19" s="85"/>
      <c r="IEV19" s="85"/>
      <c r="IEW19" s="85"/>
      <c r="IEX19" s="85"/>
      <c r="IEY19" s="85"/>
      <c r="IEZ19" s="85"/>
      <c r="IFA19" s="85"/>
      <c r="IFB19" s="85"/>
      <c r="IFC19" s="85"/>
      <c r="IFD19" s="85"/>
      <c r="IFE19" s="85"/>
      <c r="IFF19" s="85"/>
      <c r="IFG19" s="85"/>
      <c r="IFH19" s="85"/>
      <c r="IFI19" s="85"/>
      <c r="IFJ19" s="85"/>
      <c r="IFK19" s="85"/>
      <c r="IFL19" s="85"/>
      <c r="IFM19" s="85"/>
      <c r="IFN19" s="85"/>
      <c r="IFO19" s="85"/>
      <c r="IFP19" s="85"/>
      <c r="IFQ19" s="85"/>
      <c r="IFR19" s="85"/>
      <c r="IFS19" s="85"/>
      <c r="IFT19" s="85"/>
      <c r="IFU19" s="85"/>
      <c r="IFV19" s="85"/>
      <c r="IFW19" s="85"/>
      <c r="IFX19" s="85"/>
      <c r="IFY19" s="85"/>
      <c r="IFZ19" s="85"/>
      <c r="IGA19" s="85"/>
      <c r="IGB19" s="85"/>
      <c r="IGC19" s="85"/>
      <c r="IGD19" s="85"/>
      <c r="IGE19" s="85"/>
      <c r="IGF19" s="85"/>
      <c r="IGG19" s="85"/>
      <c r="IGH19" s="85"/>
      <c r="IGI19" s="85"/>
      <c r="IGJ19" s="85"/>
      <c r="IGK19" s="85"/>
      <c r="IGL19" s="85"/>
      <c r="IGM19" s="85"/>
      <c r="IGN19" s="85"/>
      <c r="IGO19" s="85"/>
      <c r="IGP19" s="85"/>
      <c r="IGQ19" s="85"/>
      <c r="IGR19" s="85"/>
      <c r="IGS19" s="85"/>
      <c r="IGT19" s="85"/>
      <c r="IGU19" s="85"/>
      <c r="IGV19" s="85"/>
      <c r="IGW19" s="85"/>
      <c r="IGX19" s="85"/>
      <c r="IGY19" s="85"/>
      <c r="IGZ19" s="85"/>
      <c r="IHA19" s="85"/>
      <c r="IHB19" s="85"/>
      <c r="IHC19" s="85"/>
      <c r="IHD19" s="85"/>
      <c r="IHE19" s="85"/>
      <c r="IHF19" s="85"/>
      <c r="IHG19" s="85"/>
      <c r="IHH19" s="85"/>
      <c r="IHI19" s="85"/>
      <c r="IHJ19" s="85"/>
      <c r="IHK19" s="85"/>
      <c r="IHL19" s="85"/>
      <c r="IHM19" s="85"/>
      <c r="IHN19" s="85"/>
      <c r="IHO19" s="85"/>
      <c r="IHP19" s="85"/>
      <c r="IHQ19" s="85"/>
      <c r="IHR19" s="85"/>
      <c r="IHS19" s="85"/>
      <c r="IHT19" s="85"/>
      <c r="IHU19" s="85"/>
      <c r="IHV19" s="85"/>
      <c r="IHW19" s="85"/>
      <c r="IHX19" s="85"/>
      <c r="IHY19" s="85"/>
      <c r="IHZ19" s="85"/>
      <c r="IIA19" s="85"/>
      <c r="IIB19" s="85"/>
      <c r="IIC19" s="85"/>
      <c r="IID19" s="85"/>
      <c r="IIE19" s="85"/>
      <c r="IIF19" s="85"/>
      <c r="IIG19" s="85"/>
      <c r="IIH19" s="85"/>
      <c r="III19" s="85"/>
      <c r="IIJ19" s="85"/>
      <c r="IIK19" s="85"/>
      <c r="IIL19" s="85"/>
      <c r="IIM19" s="85"/>
      <c r="IIN19" s="85"/>
      <c r="IIO19" s="85"/>
      <c r="IIP19" s="85"/>
      <c r="IIQ19" s="85"/>
      <c r="IIR19" s="85"/>
      <c r="IIS19" s="85"/>
      <c r="IIT19" s="85"/>
      <c r="IIU19" s="85"/>
      <c r="IIV19" s="85"/>
      <c r="IIW19" s="85"/>
      <c r="IIX19" s="85"/>
      <c r="IIY19" s="85"/>
      <c r="IIZ19" s="85"/>
      <c r="IJA19" s="85"/>
      <c r="IJB19" s="85"/>
      <c r="IJC19" s="85"/>
      <c r="IJD19" s="85"/>
      <c r="IJE19" s="85"/>
      <c r="IJF19" s="85"/>
      <c r="IJG19" s="85"/>
      <c r="IJH19" s="85"/>
      <c r="IJI19" s="85"/>
      <c r="IJJ19" s="85"/>
      <c r="IJK19" s="85"/>
      <c r="IJL19" s="85"/>
      <c r="IJM19" s="85"/>
      <c r="IJN19" s="85"/>
      <c r="IJO19" s="85"/>
      <c r="IJP19" s="85"/>
      <c r="IJQ19" s="85"/>
      <c r="IJR19" s="85"/>
      <c r="IJS19" s="85"/>
      <c r="IJT19" s="85"/>
      <c r="IJU19" s="85"/>
      <c r="IJV19" s="85"/>
      <c r="IJW19" s="85"/>
      <c r="IJX19" s="85"/>
      <c r="IJY19" s="85"/>
      <c r="IJZ19" s="85"/>
      <c r="IKA19" s="85"/>
      <c r="IKB19" s="85"/>
      <c r="IKC19" s="85"/>
      <c r="IKD19" s="85"/>
      <c r="IKE19" s="85"/>
      <c r="IKF19" s="85"/>
      <c r="IKG19" s="85"/>
      <c r="IKH19" s="85"/>
      <c r="IKI19" s="85"/>
      <c r="IKJ19" s="85"/>
      <c r="IKK19" s="85"/>
      <c r="IKL19" s="85"/>
      <c r="IKM19" s="85"/>
      <c r="IKN19" s="85"/>
      <c r="IKO19" s="85"/>
      <c r="IKP19" s="85"/>
      <c r="IKQ19" s="85"/>
      <c r="IKR19" s="85"/>
      <c r="IKS19" s="85"/>
      <c r="IKT19" s="85"/>
      <c r="IKU19" s="85"/>
      <c r="IKV19" s="85"/>
      <c r="IKW19" s="85"/>
      <c r="IKX19" s="85"/>
      <c r="IKY19" s="85"/>
      <c r="IKZ19" s="85"/>
      <c r="ILA19" s="85"/>
      <c r="ILB19" s="85"/>
      <c r="ILC19" s="85"/>
      <c r="ILD19" s="85"/>
      <c r="ILE19" s="85"/>
      <c r="ILF19" s="85"/>
      <c r="ILG19" s="85"/>
      <c r="ILH19" s="85"/>
      <c r="ILI19" s="85"/>
      <c r="ILJ19" s="85"/>
      <c r="ILK19" s="85"/>
      <c r="ILL19" s="85"/>
      <c r="ILM19" s="85"/>
      <c r="ILN19" s="85"/>
      <c r="ILO19" s="85"/>
      <c r="ILP19" s="85"/>
      <c r="ILQ19" s="85"/>
      <c r="ILR19" s="85"/>
      <c r="ILS19" s="85"/>
      <c r="ILT19" s="85"/>
      <c r="ILU19" s="85"/>
      <c r="ILV19" s="85"/>
      <c r="ILW19" s="85"/>
      <c r="ILX19" s="85"/>
      <c r="ILY19" s="85"/>
      <c r="ILZ19" s="85"/>
      <c r="IMA19" s="85"/>
      <c r="IMB19" s="85"/>
      <c r="IMC19" s="85"/>
      <c r="IMD19" s="85"/>
      <c r="IME19" s="85"/>
      <c r="IMF19" s="85"/>
      <c r="IMG19" s="85"/>
      <c r="IMH19" s="85"/>
      <c r="IMI19" s="85"/>
      <c r="IMJ19" s="85"/>
      <c r="IMK19" s="85"/>
      <c r="IML19" s="85"/>
      <c r="IMM19" s="85"/>
      <c r="IMN19" s="85"/>
      <c r="IMO19" s="85"/>
      <c r="IMP19" s="85"/>
      <c r="IMQ19" s="85"/>
      <c r="IMR19" s="85"/>
      <c r="IMS19" s="85"/>
      <c r="IMT19" s="85"/>
      <c r="IMU19" s="85"/>
      <c r="IMV19" s="85"/>
      <c r="IMW19" s="85"/>
      <c r="IMX19" s="85"/>
      <c r="IMY19" s="85"/>
      <c r="IMZ19" s="85"/>
      <c r="INA19" s="85"/>
      <c r="INB19" s="85"/>
      <c r="INC19" s="85"/>
      <c r="IND19" s="85"/>
      <c r="INE19" s="85"/>
      <c r="INF19" s="85"/>
      <c r="ING19" s="85"/>
      <c r="INH19" s="85"/>
      <c r="INI19" s="85"/>
      <c r="INJ19" s="85"/>
      <c r="INK19" s="85"/>
      <c r="INL19" s="85"/>
      <c r="INM19" s="85"/>
      <c r="INN19" s="85"/>
      <c r="INO19" s="85"/>
      <c r="INP19" s="85"/>
      <c r="INQ19" s="85"/>
      <c r="INR19" s="85"/>
      <c r="INS19" s="85"/>
      <c r="INT19" s="85"/>
      <c r="INU19" s="85"/>
      <c r="INV19" s="85"/>
      <c r="INW19" s="85"/>
      <c r="INX19" s="85"/>
      <c r="INY19" s="85"/>
      <c r="INZ19" s="85"/>
      <c r="IOA19" s="85"/>
      <c r="IOB19" s="85"/>
      <c r="IOC19" s="85"/>
      <c r="IOD19" s="85"/>
      <c r="IOE19" s="85"/>
      <c r="IOF19" s="85"/>
      <c r="IOG19" s="85"/>
      <c r="IOH19" s="85"/>
      <c r="IOI19" s="85"/>
      <c r="IOJ19" s="85"/>
      <c r="IOK19" s="85"/>
      <c r="IOL19" s="85"/>
      <c r="IOM19" s="85"/>
      <c r="ION19" s="85"/>
      <c r="IOO19" s="85"/>
      <c r="IOP19" s="85"/>
      <c r="IOQ19" s="85"/>
      <c r="IOR19" s="85"/>
      <c r="IOS19" s="85"/>
      <c r="IOT19" s="85"/>
      <c r="IOU19" s="85"/>
      <c r="IOV19" s="85"/>
      <c r="IOW19" s="85"/>
      <c r="IOX19" s="85"/>
      <c r="IOY19" s="85"/>
      <c r="IOZ19" s="85"/>
      <c r="IPA19" s="85"/>
      <c r="IPB19" s="85"/>
      <c r="IPC19" s="85"/>
      <c r="IPD19" s="85"/>
      <c r="IPE19" s="85"/>
      <c r="IPF19" s="85"/>
      <c r="IPG19" s="85"/>
      <c r="IPH19" s="85"/>
      <c r="IPI19" s="85"/>
      <c r="IPJ19" s="85"/>
      <c r="IPK19" s="85"/>
      <c r="IPL19" s="85"/>
      <c r="IPM19" s="85"/>
      <c r="IPN19" s="85"/>
      <c r="IPO19" s="85"/>
      <c r="IPP19" s="85"/>
      <c r="IPQ19" s="85"/>
      <c r="IPR19" s="85"/>
      <c r="IPS19" s="85"/>
      <c r="IPT19" s="85"/>
      <c r="IPU19" s="85"/>
      <c r="IPV19" s="85"/>
      <c r="IPW19" s="85"/>
      <c r="IPX19" s="85"/>
      <c r="IPY19" s="85"/>
      <c r="IPZ19" s="85"/>
      <c r="IQA19" s="85"/>
      <c r="IQB19" s="85"/>
      <c r="IQC19" s="85"/>
      <c r="IQD19" s="85"/>
      <c r="IQE19" s="85"/>
      <c r="IQF19" s="85"/>
      <c r="IQG19" s="85"/>
      <c r="IQH19" s="85"/>
      <c r="IQI19" s="85"/>
      <c r="IQJ19" s="85"/>
      <c r="IQK19" s="85"/>
      <c r="IQL19" s="85"/>
      <c r="IQM19" s="85"/>
      <c r="IQN19" s="85"/>
      <c r="IQO19" s="85"/>
      <c r="IQP19" s="85"/>
      <c r="IQQ19" s="85"/>
      <c r="IQR19" s="85"/>
      <c r="IQS19" s="85"/>
      <c r="IQT19" s="85"/>
      <c r="IQU19" s="85"/>
      <c r="IQV19" s="85"/>
      <c r="IQW19" s="85"/>
      <c r="IQX19" s="85"/>
      <c r="IQY19" s="85"/>
      <c r="IQZ19" s="85"/>
      <c r="IRA19" s="85"/>
      <c r="IRB19" s="85"/>
      <c r="IRC19" s="85"/>
      <c r="IRD19" s="85"/>
      <c r="IRE19" s="85"/>
      <c r="IRF19" s="85"/>
      <c r="IRG19" s="85"/>
      <c r="IRH19" s="85"/>
      <c r="IRI19" s="85"/>
      <c r="IRJ19" s="85"/>
      <c r="IRK19" s="85"/>
      <c r="IRL19" s="85"/>
      <c r="IRM19" s="85"/>
      <c r="IRN19" s="85"/>
      <c r="IRO19" s="85"/>
      <c r="IRP19" s="85"/>
      <c r="IRQ19" s="85"/>
      <c r="IRR19" s="85"/>
      <c r="IRS19" s="85"/>
      <c r="IRT19" s="85"/>
      <c r="IRU19" s="85"/>
      <c r="IRV19" s="85"/>
      <c r="IRW19" s="85"/>
      <c r="IRX19" s="85"/>
      <c r="IRY19" s="85"/>
      <c r="IRZ19" s="85"/>
      <c r="ISA19" s="85"/>
      <c r="ISB19" s="85"/>
      <c r="ISC19" s="85"/>
      <c r="ISD19" s="85"/>
      <c r="ISE19" s="85"/>
      <c r="ISF19" s="85"/>
      <c r="ISG19" s="85"/>
      <c r="ISH19" s="85"/>
      <c r="ISI19" s="85"/>
      <c r="ISJ19" s="85"/>
      <c r="ISK19" s="85"/>
      <c r="ISL19" s="85"/>
      <c r="ISM19" s="85"/>
      <c r="ISN19" s="85"/>
      <c r="ISO19" s="85"/>
      <c r="ISP19" s="85"/>
      <c r="ISQ19" s="85"/>
      <c r="ISR19" s="85"/>
      <c r="ISS19" s="85"/>
      <c r="IST19" s="85"/>
      <c r="ISU19" s="85"/>
      <c r="ISV19" s="85"/>
      <c r="ISW19" s="85"/>
      <c r="ISX19" s="85"/>
      <c r="ISY19" s="85"/>
      <c r="ISZ19" s="85"/>
      <c r="ITA19" s="85"/>
      <c r="ITB19" s="85"/>
      <c r="ITC19" s="85"/>
      <c r="ITD19" s="85"/>
      <c r="ITE19" s="85"/>
      <c r="ITF19" s="85"/>
      <c r="ITG19" s="85"/>
      <c r="ITH19" s="85"/>
      <c r="ITI19" s="85"/>
      <c r="ITJ19" s="85"/>
      <c r="ITK19" s="85"/>
      <c r="ITL19" s="85"/>
      <c r="ITM19" s="85"/>
      <c r="ITN19" s="85"/>
      <c r="ITO19" s="85"/>
      <c r="ITP19" s="85"/>
      <c r="ITQ19" s="85"/>
      <c r="ITR19" s="85"/>
      <c r="ITS19" s="85"/>
      <c r="ITT19" s="85"/>
      <c r="ITU19" s="85"/>
      <c r="ITV19" s="85"/>
      <c r="ITW19" s="85"/>
      <c r="ITX19" s="85"/>
      <c r="ITY19" s="85"/>
      <c r="ITZ19" s="85"/>
      <c r="IUA19" s="85"/>
      <c r="IUB19" s="85"/>
      <c r="IUC19" s="85"/>
      <c r="IUD19" s="85"/>
      <c r="IUE19" s="85"/>
      <c r="IUF19" s="85"/>
      <c r="IUG19" s="85"/>
      <c r="IUH19" s="85"/>
      <c r="IUI19" s="85"/>
      <c r="IUJ19" s="85"/>
      <c r="IUK19" s="85"/>
      <c r="IUL19" s="85"/>
      <c r="IUM19" s="85"/>
      <c r="IUN19" s="85"/>
      <c r="IUO19" s="85"/>
      <c r="IUP19" s="85"/>
      <c r="IUQ19" s="85"/>
      <c r="IUR19" s="85"/>
      <c r="IUS19" s="85"/>
      <c r="IUT19" s="85"/>
      <c r="IUU19" s="85"/>
      <c r="IUV19" s="85"/>
      <c r="IUW19" s="85"/>
      <c r="IUX19" s="85"/>
      <c r="IUY19" s="85"/>
      <c r="IUZ19" s="85"/>
      <c r="IVA19" s="85"/>
      <c r="IVB19" s="85"/>
      <c r="IVC19" s="85"/>
      <c r="IVD19" s="85"/>
      <c r="IVE19" s="85"/>
      <c r="IVF19" s="85"/>
      <c r="IVG19" s="85"/>
      <c r="IVH19" s="85"/>
      <c r="IVI19" s="85"/>
      <c r="IVJ19" s="85"/>
      <c r="IVK19" s="85"/>
      <c r="IVL19" s="85"/>
      <c r="IVM19" s="85"/>
      <c r="IVN19" s="85"/>
      <c r="IVO19" s="85"/>
      <c r="IVP19" s="85"/>
      <c r="IVQ19" s="85"/>
      <c r="IVR19" s="85"/>
      <c r="IVS19" s="85"/>
      <c r="IVT19" s="85"/>
      <c r="IVU19" s="85"/>
      <c r="IVV19" s="85"/>
      <c r="IVW19" s="85"/>
      <c r="IVX19" s="85"/>
      <c r="IVY19" s="85"/>
      <c r="IVZ19" s="85"/>
      <c r="IWA19" s="85"/>
      <c r="IWB19" s="85"/>
      <c r="IWC19" s="85"/>
      <c r="IWD19" s="85"/>
      <c r="IWE19" s="85"/>
      <c r="IWF19" s="85"/>
      <c r="IWG19" s="85"/>
      <c r="IWH19" s="85"/>
      <c r="IWI19" s="85"/>
      <c r="IWJ19" s="85"/>
      <c r="IWK19" s="85"/>
      <c r="IWL19" s="85"/>
      <c r="IWM19" s="85"/>
      <c r="IWN19" s="85"/>
      <c r="IWO19" s="85"/>
      <c r="IWP19" s="85"/>
      <c r="IWQ19" s="85"/>
      <c r="IWR19" s="85"/>
      <c r="IWS19" s="85"/>
      <c r="IWT19" s="85"/>
      <c r="IWU19" s="85"/>
      <c r="IWV19" s="85"/>
      <c r="IWW19" s="85"/>
      <c r="IWX19" s="85"/>
      <c r="IWY19" s="85"/>
      <c r="IWZ19" s="85"/>
      <c r="IXA19" s="85"/>
      <c r="IXB19" s="85"/>
      <c r="IXC19" s="85"/>
      <c r="IXD19" s="85"/>
      <c r="IXE19" s="85"/>
      <c r="IXF19" s="85"/>
      <c r="IXG19" s="85"/>
      <c r="IXH19" s="85"/>
      <c r="IXI19" s="85"/>
      <c r="IXJ19" s="85"/>
      <c r="IXK19" s="85"/>
      <c r="IXL19" s="85"/>
      <c r="IXM19" s="85"/>
      <c r="IXN19" s="85"/>
      <c r="IXO19" s="85"/>
      <c r="IXP19" s="85"/>
      <c r="IXQ19" s="85"/>
      <c r="IXR19" s="85"/>
      <c r="IXS19" s="85"/>
      <c r="IXT19" s="85"/>
      <c r="IXU19" s="85"/>
      <c r="IXV19" s="85"/>
      <c r="IXW19" s="85"/>
      <c r="IXX19" s="85"/>
      <c r="IXY19" s="85"/>
      <c r="IXZ19" s="85"/>
      <c r="IYA19" s="85"/>
      <c r="IYB19" s="85"/>
      <c r="IYC19" s="85"/>
      <c r="IYD19" s="85"/>
      <c r="IYE19" s="85"/>
      <c r="IYF19" s="85"/>
      <c r="IYG19" s="85"/>
      <c r="IYH19" s="85"/>
      <c r="IYI19" s="85"/>
      <c r="IYJ19" s="85"/>
      <c r="IYK19" s="85"/>
      <c r="IYL19" s="85"/>
      <c r="IYM19" s="85"/>
      <c r="IYN19" s="85"/>
      <c r="IYO19" s="85"/>
      <c r="IYP19" s="85"/>
      <c r="IYQ19" s="85"/>
      <c r="IYR19" s="85"/>
      <c r="IYS19" s="85"/>
      <c r="IYT19" s="85"/>
      <c r="IYU19" s="85"/>
      <c r="IYV19" s="85"/>
      <c r="IYW19" s="85"/>
      <c r="IYX19" s="85"/>
      <c r="IYY19" s="85"/>
      <c r="IYZ19" s="85"/>
      <c r="IZA19" s="85"/>
      <c r="IZB19" s="85"/>
      <c r="IZC19" s="85"/>
      <c r="IZD19" s="85"/>
      <c r="IZE19" s="85"/>
      <c r="IZF19" s="85"/>
      <c r="IZG19" s="85"/>
      <c r="IZH19" s="85"/>
      <c r="IZI19" s="85"/>
      <c r="IZJ19" s="85"/>
      <c r="IZK19" s="85"/>
      <c r="IZL19" s="85"/>
      <c r="IZM19" s="85"/>
      <c r="IZN19" s="85"/>
      <c r="IZO19" s="85"/>
      <c r="IZP19" s="85"/>
      <c r="IZQ19" s="85"/>
      <c r="IZR19" s="85"/>
      <c r="IZS19" s="85"/>
      <c r="IZT19" s="85"/>
      <c r="IZU19" s="85"/>
      <c r="IZV19" s="85"/>
      <c r="IZW19" s="85"/>
      <c r="IZX19" s="85"/>
      <c r="IZY19" s="85"/>
      <c r="IZZ19" s="85"/>
      <c r="JAA19" s="85"/>
      <c r="JAB19" s="85"/>
      <c r="JAC19" s="85"/>
      <c r="JAD19" s="85"/>
      <c r="JAE19" s="85"/>
      <c r="JAF19" s="85"/>
      <c r="JAG19" s="85"/>
      <c r="JAH19" s="85"/>
      <c r="JAI19" s="85"/>
      <c r="JAJ19" s="85"/>
      <c r="JAK19" s="85"/>
      <c r="JAL19" s="85"/>
      <c r="JAM19" s="85"/>
      <c r="JAN19" s="85"/>
      <c r="JAO19" s="85"/>
      <c r="JAP19" s="85"/>
      <c r="JAQ19" s="85"/>
      <c r="JAR19" s="85"/>
      <c r="JAS19" s="85"/>
      <c r="JAT19" s="85"/>
      <c r="JAU19" s="85"/>
      <c r="JAV19" s="85"/>
      <c r="JAW19" s="85"/>
      <c r="JAX19" s="85"/>
      <c r="JAY19" s="85"/>
      <c r="JAZ19" s="85"/>
      <c r="JBA19" s="85"/>
      <c r="JBB19" s="85"/>
      <c r="JBC19" s="85"/>
      <c r="JBD19" s="85"/>
      <c r="JBE19" s="85"/>
      <c r="JBF19" s="85"/>
      <c r="JBG19" s="85"/>
      <c r="JBH19" s="85"/>
      <c r="JBI19" s="85"/>
      <c r="JBJ19" s="85"/>
      <c r="JBK19" s="85"/>
      <c r="JBL19" s="85"/>
      <c r="JBM19" s="85"/>
      <c r="JBN19" s="85"/>
      <c r="JBO19" s="85"/>
      <c r="JBP19" s="85"/>
      <c r="JBQ19" s="85"/>
      <c r="JBR19" s="85"/>
      <c r="JBS19" s="85"/>
      <c r="JBT19" s="85"/>
      <c r="JBU19" s="85"/>
      <c r="JBV19" s="85"/>
      <c r="JBW19" s="85"/>
      <c r="JBX19" s="85"/>
      <c r="JBY19" s="85"/>
      <c r="JBZ19" s="85"/>
      <c r="JCA19" s="85"/>
      <c r="JCB19" s="85"/>
      <c r="JCC19" s="85"/>
      <c r="JCD19" s="85"/>
      <c r="JCE19" s="85"/>
      <c r="JCF19" s="85"/>
      <c r="JCG19" s="85"/>
      <c r="JCH19" s="85"/>
      <c r="JCI19" s="85"/>
      <c r="JCJ19" s="85"/>
      <c r="JCK19" s="85"/>
      <c r="JCL19" s="85"/>
      <c r="JCM19" s="85"/>
      <c r="JCN19" s="85"/>
      <c r="JCO19" s="85"/>
      <c r="JCP19" s="85"/>
      <c r="JCQ19" s="85"/>
      <c r="JCR19" s="85"/>
      <c r="JCS19" s="85"/>
      <c r="JCT19" s="85"/>
      <c r="JCU19" s="85"/>
      <c r="JCV19" s="85"/>
      <c r="JCW19" s="85"/>
      <c r="JCX19" s="85"/>
      <c r="JCY19" s="85"/>
      <c r="JCZ19" s="85"/>
      <c r="JDA19" s="85"/>
      <c r="JDB19" s="85"/>
      <c r="JDC19" s="85"/>
      <c r="JDD19" s="85"/>
      <c r="JDE19" s="85"/>
      <c r="JDF19" s="85"/>
      <c r="JDG19" s="85"/>
      <c r="JDH19" s="85"/>
      <c r="JDI19" s="85"/>
      <c r="JDJ19" s="85"/>
      <c r="JDK19" s="85"/>
      <c r="JDL19" s="85"/>
      <c r="JDM19" s="85"/>
      <c r="JDN19" s="85"/>
      <c r="JDO19" s="85"/>
      <c r="JDP19" s="85"/>
      <c r="JDQ19" s="85"/>
      <c r="JDR19" s="85"/>
      <c r="JDS19" s="85"/>
      <c r="JDT19" s="85"/>
      <c r="JDU19" s="85"/>
      <c r="JDV19" s="85"/>
      <c r="JDW19" s="85"/>
      <c r="JDX19" s="85"/>
      <c r="JDY19" s="85"/>
      <c r="JDZ19" s="85"/>
      <c r="JEA19" s="85"/>
      <c r="JEB19" s="85"/>
      <c r="JEC19" s="85"/>
      <c r="JED19" s="85"/>
      <c r="JEE19" s="85"/>
      <c r="JEF19" s="85"/>
      <c r="JEG19" s="85"/>
      <c r="JEH19" s="85"/>
      <c r="JEI19" s="85"/>
      <c r="JEJ19" s="85"/>
      <c r="JEK19" s="85"/>
      <c r="JEL19" s="85"/>
      <c r="JEM19" s="85"/>
      <c r="JEN19" s="85"/>
      <c r="JEO19" s="85"/>
      <c r="JEP19" s="85"/>
      <c r="JEQ19" s="85"/>
      <c r="JER19" s="85"/>
      <c r="JES19" s="85"/>
      <c r="JET19" s="85"/>
      <c r="JEU19" s="85"/>
      <c r="JEV19" s="85"/>
      <c r="JEW19" s="85"/>
      <c r="JEX19" s="85"/>
      <c r="JEY19" s="85"/>
      <c r="JEZ19" s="85"/>
      <c r="JFA19" s="85"/>
      <c r="JFB19" s="85"/>
      <c r="JFC19" s="85"/>
      <c r="JFD19" s="85"/>
      <c r="JFE19" s="85"/>
      <c r="JFF19" s="85"/>
      <c r="JFG19" s="85"/>
      <c r="JFH19" s="85"/>
      <c r="JFI19" s="85"/>
      <c r="JFJ19" s="85"/>
      <c r="JFK19" s="85"/>
      <c r="JFL19" s="85"/>
      <c r="JFM19" s="85"/>
      <c r="JFN19" s="85"/>
      <c r="JFO19" s="85"/>
      <c r="JFP19" s="85"/>
      <c r="JFQ19" s="85"/>
      <c r="JFR19" s="85"/>
      <c r="JFS19" s="85"/>
      <c r="JFT19" s="85"/>
      <c r="JFU19" s="85"/>
      <c r="JFV19" s="85"/>
      <c r="JFW19" s="85"/>
      <c r="JFX19" s="85"/>
      <c r="JFY19" s="85"/>
      <c r="JFZ19" s="85"/>
      <c r="JGA19" s="85"/>
      <c r="JGB19" s="85"/>
      <c r="JGC19" s="85"/>
      <c r="JGD19" s="85"/>
      <c r="JGE19" s="85"/>
      <c r="JGF19" s="85"/>
      <c r="JGG19" s="85"/>
      <c r="JGH19" s="85"/>
      <c r="JGI19" s="85"/>
      <c r="JGJ19" s="85"/>
      <c r="JGK19" s="85"/>
      <c r="JGL19" s="85"/>
      <c r="JGM19" s="85"/>
      <c r="JGN19" s="85"/>
      <c r="JGO19" s="85"/>
      <c r="JGP19" s="85"/>
      <c r="JGQ19" s="85"/>
      <c r="JGR19" s="85"/>
      <c r="JGS19" s="85"/>
      <c r="JGT19" s="85"/>
      <c r="JGU19" s="85"/>
      <c r="JGV19" s="85"/>
      <c r="JGW19" s="85"/>
      <c r="JGX19" s="85"/>
      <c r="JGY19" s="85"/>
      <c r="JGZ19" s="85"/>
      <c r="JHA19" s="85"/>
      <c r="JHB19" s="85"/>
      <c r="JHC19" s="85"/>
      <c r="JHD19" s="85"/>
      <c r="JHE19" s="85"/>
      <c r="JHF19" s="85"/>
      <c r="JHG19" s="85"/>
      <c r="JHH19" s="85"/>
      <c r="JHI19" s="85"/>
      <c r="JHJ19" s="85"/>
      <c r="JHK19" s="85"/>
      <c r="JHL19" s="85"/>
      <c r="JHM19" s="85"/>
      <c r="JHN19" s="85"/>
      <c r="JHO19" s="85"/>
      <c r="JHP19" s="85"/>
      <c r="JHQ19" s="85"/>
      <c r="JHR19" s="85"/>
      <c r="JHS19" s="85"/>
      <c r="JHT19" s="85"/>
      <c r="JHU19" s="85"/>
      <c r="JHV19" s="85"/>
      <c r="JHW19" s="85"/>
      <c r="JHX19" s="85"/>
      <c r="JHY19" s="85"/>
      <c r="JHZ19" s="85"/>
      <c r="JIA19" s="85"/>
      <c r="JIB19" s="85"/>
      <c r="JIC19" s="85"/>
      <c r="JID19" s="85"/>
      <c r="JIE19" s="85"/>
      <c r="JIF19" s="85"/>
      <c r="JIG19" s="85"/>
      <c r="JIH19" s="85"/>
      <c r="JII19" s="85"/>
      <c r="JIJ19" s="85"/>
      <c r="JIK19" s="85"/>
      <c r="JIL19" s="85"/>
      <c r="JIM19" s="85"/>
      <c r="JIN19" s="85"/>
      <c r="JIO19" s="85"/>
      <c r="JIP19" s="85"/>
      <c r="JIQ19" s="85"/>
      <c r="JIR19" s="85"/>
      <c r="JIS19" s="85"/>
      <c r="JIT19" s="85"/>
      <c r="JIU19" s="85"/>
      <c r="JIV19" s="85"/>
      <c r="JIW19" s="85"/>
      <c r="JIX19" s="85"/>
      <c r="JIY19" s="85"/>
      <c r="JIZ19" s="85"/>
      <c r="JJA19" s="85"/>
      <c r="JJB19" s="85"/>
      <c r="JJC19" s="85"/>
      <c r="JJD19" s="85"/>
      <c r="JJE19" s="85"/>
      <c r="JJF19" s="85"/>
      <c r="JJG19" s="85"/>
      <c r="JJH19" s="85"/>
      <c r="JJI19" s="85"/>
      <c r="JJJ19" s="85"/>
      <c r="JJK19" s="85"/>
      <c r="JJL19" s="85"/>
      <c r="JJM19" s="85"/>
      <c r="JJN19" s="85"/>
      <c r="JJO19" s="85"/>
      <c r="JJP19" s="85"/>
      <c r="JJQ19" s="85"/>
      <c r="JJR19" s="85"/>
      <c r="JJS19" s="85"/>
      <c r="JJT19" s="85"/>
      <c r="JJU19" s="85"/>
      <c r="JJV19" s="85"/>
      <c r="JJW19" s="85"/>
      <c r="JJX19" s="85"/>
      <c r="JJY19" s="85"/>
      <c r="JJZ19" s="85"/>
      <c r="JKA19" s="85"/>
      <c r="JKB19" s="85"/>
      <c r="JKC19" s="85"/>
      <c r="JKD19" s="85"/>
      <c r="JKE19" s="85"/>
      <c r="JKF19" s="85"/>
      <c r="JKG19" s="85"/>
      <c r="JKH19" s="85"/>
      <c r="JKI19" s="85"/>
      <c r="JKJ19" s="85"/>
      <c r="JKK19" s="85"/>
      <c r="JKL19" s="85"/>
      <c r="JKM19" s="85"/>
      <c r="JKN19" s="85"/>
      <c r="JKO19" s="85"/>
      <c r="JKP19" s="85"/>
      <c r="JKQ19" s="85"/>
      <c r="JKR19" s="85"/>
      <c r="JKS19" s="85"/>
      <c r="JKT19" s="85"/>
      <c r="JKU19" s="85"/>
      <c r="JKV19" s="85"/>
      <c r="JKW19" s="85"/>
      <c r="JKX19" s="85"/>
      <c r="JKY19" s="85"/>
      <c r="JKZ19" s="85"/>
      <c r="JLA19" s="85"/>
      <c r="JLB19" s="85"/>
      <c r="JLC19" s="85"/>
      <c r="JLD19" s="85"/>
      <c r="JLE19" s="85"/>
      <c r="JLF19" s="85"/>
      <c r="JLG19" s="85"/>
      <c r="JLH19" s="85"/>
      <c r="JLI19" s="85"/>
      <c r="JLJ19" s="85"/>
      <c r="JLK19" s="85"/>
      <c r="JLL19" s="85"/>
      <c r="JLM19" s="85"/>
      <c r="JLN19" s="85"/>
      <c r="JLO19" s="85"/>
      <c r="JLP19" s="85"/>
      <c r="JLQ19" s="85"/>
      <c r="JLR19" s="85"/>
      <c r="JLS19" s="85"/>
      <c r="JLT19" s="85"/>
      <c r="JLU19" s="85"/>
      <c r="JLV19" s="85"/>
      <c r="JLW19" s="85"/>
      <c r="JLX19" s="85"/>
      <c r="JLY19" s="85"/>
      <c r="JLZ19" s="85"/>
      <c r="JMA19" s="85"/>
      <c r="JMB19" s="85"/>
      <c r="JMC19" s="85"/>
      <c r="JMD19" s="85"/>
      <c r="JME19" s="85"/>
      <c r="JMF19" s="85"/>
      <c r="JMG19" s="85"/>
      <c r="JMH19" s="85"/>
      <c r="JMI19" s="85"/>
      <c r="JMJ19" s="85"/>
      <c r="JMK19" s="85"/>
      <c r="JML19" s="85"/>
      <c r="JMM19" s="85"/>
      <c r="JMN19" s="85"/>
      <c r="JMO19" s="85"/>
      <c r="JMP19" s="85"/>
      <c r="JMQ19" s="85"/>
      <c r="JMR19" s="85"/>
      <c r="JMS19" s="85"/>
      <c r="JMT19" s="85"/>
      <c r="JMU19" s="85"/>
      <c r="JMV19" s="85"/>
      <c r="JMW19" s="85"/>
      <c r="JMX19" s="85"/>
      <c r="JMY19" s="85"/>
      <c r="JMZ19" s="85"/>
      <c r="JNA19" s="85"/>
      <c r="JNB19" s="85"/>
      <c r="JNC19" s="85"/>
      <c r="JND19" s="85"/>
      <c r="JNE19" s="85"/>
      <c r="JNF19" s="85"/>
      <c r="JNG19" s="85"/>
      <c r="JNH19" s="85"/>
      <c r="JNI19" s="85"/>
      <c r="JNJ19" s="85"/>
      <c r="JNK19" s="85"/>
      <c r="JNL19" s="85"/>
      <c r="JNM19" s="85"/>
      <c r="JNN19" s="85"/>
      <c r="JNO19" s="85"/>
      <c r="JNP19" s="85"/>
      <c r="JNQ19" s="85"/>
      <c r="JNR19" s="85"/>
      <c r="JNS19" s="85"/>
      <c r="JNT19" s="85"/>
      <c r="JNU19" s="85"/>
      <c r="JNV19" s="85"/>
      <c r="JNW19" s="85"/>
      <c r="JNX19" s="85"/>
      <c r="JNY19" s="85"/>
      <c r="JNZ19" s="85"/>
      <c r="JOA19" s="85"/>
      <c r="JOB19" s="85"/>
      <c r="JOC19" s="85"/>
      <c r="JOD19" s="85"/>
      <c r="JOE19" s="85"/>
      <c r="JOF19" s="85"/>
      <c r="JOG19" s="85"/>
      <c r="JOH19" s="85"/>
      <c r="JOI19" s="85"/>
      <c r="JOJ19" s="85"/>
      <c r="JOK19" s="85"/>
      <c r="JOL19" s="85"/>
      <c r="JOM19" s="85"/>
      <c r="JON19" s="85"/>
      <c r="JOO19" s="85"/>
      <c r="JOP19" s="85"/>
      <c r="JOQ19" s="85"/>
      <c r="JOR19" s="85"/>
      <c r="JOS19" s="85"/>
      <c r="JOT19" s="85"/>
      <c r="JOU19" s="85"/>
      <c r="JOV19" s="85"/>
      <c r="JOW19" s="85"/>
      <c r="JOX19" s="85"/>
      <c r="JOY19" s="85"/>
      <c r="JOZ19" s="85"/>
      <c r="JPA19" s="85"/>
      <c r="JPB19" s="85"/>
      <c r="JPC19" s="85"/>
      <c r="JPD19" s="85"/>
      <c r="JPE19" s="85"/>
      <c r="JPF19" s="85"/>
      <c r="JPG19" s="85"/>
      <c r="JPH19" s="85"/>
      <c r="JPI19" s="85"/>
      <c r="JPJ19" s="85"/>
      <c r="JPK19" s="85"/>
      <c r="JPL19" s="85"/>
      <c r="JPM19" s="85"/>
      <c r="JPN19" s="85"/>
      <c r="JPO19" s="85"/>
      <c r="JPP19" s="85"/>
      <c r="JPQ19" s="85"/>
      <c r="JPR19" s="85"/>
      <c r="JPS19" s="85"/>
      <c r="JPT19" s="85"/>
      <c r="JPU19" s="85"/>
      <c r="JPV19" s="85"/>
      <c r="JPW19" s="85"/>
      <c r="JPX19" s="85"/>
      <c r="JPY19" s="85"/>
      <c r="JPZ19" s="85"/>
      <c r="JQA19" s="85"/>
      <c r="JQB19" s="85"/>
      <c r="JQC19" s="85"/>
      <c r="JQD19" s="85"/>
      <c r="JQE19" s="85"/>
      <c r="JQF19" s="85"/>
      <c r="JQG19" s="85"/>
      <c r="JQH19" s="85"/>
      <c r="JQI19" s="85"/>
      <c r="JQJ19" s="85"/>
      <c r="JQK19" s="85"/>
      <c r="JQL19" s="85"/>
      <c r="JQM19" s="85"/>
      <c r="JQN19" s="85"/>
      <c r="JQO19" s="85"/>
      <c r="JQP19" s="85"/>
      <c r="JQQ19" s="85"/>
      <c r="JQR19" s="85"/>
      <c r="JQS19" s="85"/>
      <c r="JQT19" s="85"/>
      <c r="JQU19" s="85"/>
      <c r="JQV19" s="85"/>
      <c r="JQW19" s="85"/>
      <c r="JQX19" s="85"/>
      <c r="JQY19" s="85"/>
      <c r="JQZ19" s="85"/>
      <c r="JRA19" s="85"/>
      <c r="JRB19" s="85"/>
      <c r="JRC19" s="85"/>
      <c r="JRD19" s="85"/>
      <c r="JRE19" s="85"/>
      <c r="JRF19" s="85"/>
      <c r="JRG19" s="85"/>
      <c r="JRH19" s="85"/>
      <c r="JRI19" s="85"/>
      <c r="JRJ19" s="85"/>
      <c r="JRK19" s="85"/>
      <c r="JRL19" s="85"/>
      <c r="JRM19" s="85"/>
      <c r="JRN19" s="85"/>
      <c r="JRO19" s="85"/>
      <c r="JRP19" s="85"/>
      <c r="JRQ19" s="85"/>
      <c r="JRR19" s="85"/>
      <c r="JRS19" s="85"/>
      <c r="JRT19" s="85"/>
      <c r="JRU19" s="85"/>
      <c r="JRV19" s="85"/>
      <c r="JRW19" s="85"/>
      <c r="JRX19" s="85"/>
      <c r="JRY19" s="85"/>
      <c r="JRZ19" s="85"/>
      <c r="JSA19" s="85"/>
      <c r="JSB19" s="85"/>
      <c r="JSC19" s="85"/>
      <c r="JSD19" s="85"/>
      <c r="JSE19" s="85"/>
      <c r="JSF19" s="85"/>
      <c r="JSG19" s="85"/>
      <c r="JSH19" s="85"/>
      <c r="JSI19" s="85"/>
      <c r="JSJ19" s="85"/>
      <c r="JSK19" s="85"/>
      <c r="JSL19" s="85"/>
      <c r="JSM19" s="85"/>
      <c r="JSN19" s="85"/>
      <c r="JSO19" s="85"/>
      <c r="JSP19" s="85"/>
      <c r="JSQ19" s="85"/>
      <c r="JSR19" s="85"/>
      <c r="JSS19" s="85"/>
      <c r="JST19" s="85"/>
      <c r="JSU19" s="85"/>
      <c r="JSV19" s="85"/>
      <c r="JSW19" s="85"/>
      <c r="JSX19" s="85"/>
      <c r="JSY19" s="85"/>
      <c r="JSZ19" s="85"/>
      <c r="JTA19" s="85"/>
      <c r="JTB19" s="85"/>
      <c r="JTC19" s="85"/>
      <c r="JTD19" s="85"/>
      <c r="JTE19" s="85"/>
      <c r="JTF19" s="85"/>
      <c r="JTG19" s="85"/>
      <c r="JTH19" s="85"/>
      <c r="JTI19" s="85"/>
      <c r="JTJ19" s="85"/>
      <c r="JTK19" s="85"/>
      <c r="JTL19" s="85"/>
      <c r="JTM19" s="85"/>
      <c r="JTN19" s="85"/>
      <c r="JTO19" s="85"/>
      <c r="JTP19" s="85"/>
      <c r="JTQ19" s="85"/>
      <c r="JTR19" s="85"/>
      <c r="JTS19" s="85"/>
      <c r="JTT19" s="85"/>
      <c r="JTU19" s="85"/>
      <c r="JTV19" s="85"/>
      <c r="JTW19" s="85"/>
      <c r="JTX19" s="85"/>
      <c r="JTY19" s="85"/>
      <c r="JTZ19" s="85"/>
      <c r="JUA19" s="85"/>
      <c r="JUB19" s="85"/>
      <c r="JUC19" s="85"/>
      <c r="JUD19" s="85"/>
      <c r="JUE19" s="85"/>
      <c r="JUF19" s="85"/>
      <c r="JUG19" s="85"/>
      <c r="JUH19" s="85"/>
      <c r="JUI19" s="85"/>
      <c r="JUJ19" s="85"/>
      <c r="JUK19" s="85"/>
      <c r="JUL19" s="85"/>
      <c r="JUM19" s="85"/>
      <c r="JUN19" s="85"/>
      <c r="JUO19" s="85"/>
      <c r="JUP19" s="85"/>
      <c r="JUQ19" s="85"/>
      <c r="JUR19" s="85"/>
      <c r="JUS19" s="85"/>
      <c r="JUT19" s="85"/>
      <c r="JUU19" s="85"/>
      <c r="JUV19" s="85"/>
      <c r="JUW19" s="85"/>
      <c r="JUX19" s="85"/>
      <c r="JUY19" s="85"/>
      <c r="JUZ19" s="85"/>
      <c r="JVA19" s="85"/>
      <c r="JVB19" s="85"/>
      <c r="JVC19" s="85"/>
      <c r="JVD19" s="85"/>
      <c r="JVE19" s="85"/>
      <c r="JVF19" s="85"/>
      <c r="JVG19" s="85"/>
      <c r="JVH19" s="85"/>
      <c r="JVI19" s="85"/>
      <c r="JVJ19" s="85"/>
      <c r="JVK19" s="85"/>
      <c r="JVL19" s="85"/>
      <c r="JVM19" s="85"/>
      <c r="JVN19" s="85"/>
      <c r="JVO19" s="85"/>
      <c r="JVP19" s="85"/>
      <c r="JVQ19" s="85"/>
      <c r="JVR19" s="85"/>
      <c r="JVS19" s="85"/>
      <c r="JVT19" s="85"/>
      <c r="JVU19" s="85"/>
      <c r="JVV19" s="85"/>
      <c r="JVW19" s="85"/>
      <c r="JVX19" s="85"/>
      <c r="JVY19" s="85"/>
      <c r="JVZ19" s="85"/>
      <c r="JWA19" s="85"/>
      <c r="JWB19" s="85"/>
      <c r="JWC19" s="85"/>
      <c r="JWD19" s="85"/>
      <c r="JWE19" s="85"/>
      <c r="JWF19" s="85"/>
      <c r="JWG19" s="85"/>
      <c r="JWH19" s="85"/>
      <c r="JWI19" s="85"/>
      <c r="JWJ19" s="85"/>
      <c r="JWK19" s="85"/>
      <c r="JWL19" s="85"/>
      <c r="JWM19" s="85"/>
      <c r="JWN19" s="85"/>
      <c r="JWO19" s="85"/>
      <c r="JWP19" s="85"/>
      <c r="JWQ19" s="85"/>
      <c r="JWR19" s="85"/>
      <c r="JWS19" s="85"/>
      <c r="JWT19" s="85"/>
      <c r="JWU19" s="85"/>
      <c r="JWV19" s="85"/>
      <c r="JWW19" s="85"/>
      <c r="JWX19" s="85"/>
      <c r="JWY19" s="85"/>
      <c r="JWZ19" s="85"/>
      <c r="JXA19" s="85"/>
      <c r="JXB19" s="85"/>
      <c r="JXC19" s="85"/>
      <c r="JXD19" s="85"/>
      <c r="JXE19" s="85"/>
      <c r="JXF19" s="85"/>
      <c r="JXG19" s="85"/>
      <c r="JXH19" s="85"/>
      <c r="JXI19" s="85"/>
      <c r="JXJ19" s="85"/>
      <c r="JXK19" s="85"/>
      <c r="JXL19" s="85"/>
      <c r="JXM19" s="85"/>
      <c r="JXN19" s="85"/>
      <c r="JXO19" s="85"/>
      <c r="JXP19" s="85"/>
      <c r="JXQ19" s="85"/>
      <c r="JXR19" s="85"/>
      <c r="JXS19" s="85"/>
      <c r="JXT19" s="85"/>
      <c r="JXU19" s="85"/>
      <c r="JXV19" s="85"/>
      <c r="JXW19" s="85"/>
      <c r="JXX19" s="85"/>
      <c r="JXY19" s="85"/>
      <c r="JXZ19" s="85"/>
      <c r="JYA19" s="85"/>
      <c r="JYB19" s="85"/>
      <c r="JYC19" s="85"/>
      <c r="JYD19" s="85"/>
      <c r="JYE19" s="85"/>
      <c r="JYF19" s="85"/>
      <c r="JYG19" s="85"/>
      <c r="JYH19" s="85"/>
      <c r="JYI19" s="85"/>
      <c r="JYJ19" s="85"/>
      <c r="JYK19" s="85"/>
      <c r="JYL19" s="85"/>
      <c r="JYM19" s="85"/>
      <c r="JYN19" s="85"/>
      <c r="JYO19" s="85"/>
      <c r="JYP19" s="85"/>
      <c r="JYQ19" s="85"/>
      <c r="JYR19" s="85"/>
      <c r="JYS19" s="85"/>
      <c r="JYT19" s="85"/>
      <c r="JYU19" s="85"/>
      <c r="JYV19" s="85"/>
      <c r="JYW19" s="85"/>
      <c r="JYX19" s="85"/>
      <c r="JYY19" s="85"/>
      <c r="JYZ19" s="85"/>
      <c r="JZA19" s="85"/>
      <c r="JZB19" s="85"/>
      <c r="JZC19" s="85"/>
      <c r="JZD19" s="85"/>
      <c r="JZE19" s="85"/>
      <c r="JZF19" s="85"/>
      <c r="JZG19" s="85"/>
      <c r="JZH19" s="85"/>
      <c r="JZI19" s="85"/>
      <c r="JZJ19" s="85"/>
      <c r="JZK19" s="85"/>
      <c r="JZL19" s="85"/>
      <c r="JZM19" s="85"/>
      <c r="JZN19" s="85"/>
      <c r="JZO19" s="85"/>
      <c r="JZP19" s="85"/>
      <c r="JZQ19" s="85"/>
      <c r="JZR19" s="85"/>
      <c r="JZS19" s="85"/>
      <c r="JZT19" s="85"/>
      <c r="JZU19" s="85"/>
      <c r="JZV19" s="85"/>
      <c r="JZW19" s="85"/>
      <c r="JZX19" s="85"/>
      <c r="JZY19" s="85"/>
      <c r="JZZ19" s="85"/>
      <c r="KAA19" s="85"/>
      <c r="KAB19" s="85"/>
      <c r="KAC19" s="85"/>
      <c r="KAD19" s="85"/>
      <c r="KAE19" s="85"/>
      <c r="KAF19" s="85"/>
      <c r="KAG19" s="85"/>
      <c r="KAH19" s="85"/>
      <c r="KAI19" s="85"/>
      <c r="KAJ19" s="85"/>
      <c r="KAK19" s="85"/>
      <c r="KAL19" s="85"/>
      <c r="KAM19" s="85"/>
      <c r="KAN19" s="85"/>
      <c r="KAO19" s="85"/>
      <c r="KAP19" s="85"/>
      <c r="KAQ19" s="85"/>
      <c r="KAR19" s="85"/>
      <c r="KAS19" s="85"/>
      <c r="KAT19" s="85"/>
      <c r="KAU19" s="85"/>
      <c r="KAV19" s="85"/>
      <c r="KAW19" s="85"/>
      <c r="KAX19" s="85"/>
      <c r="KAY19" s="85"/>
      <c r="KAZ19" s="85"/>
      <c r="KBA19" s="85"/>
      <c r="KBB19" s="85"/>
      <c r="KBC19" s="85"/>
      <c r="KBD19" s="85"/>
      <c r="KBE19" s="85"/>
      <c r="KBF19" s="85"/>
      <c r="KBG19" s="85"/>
      <c r="KBH19" s="85"/>
      <c r="KBI19" s="85"/>
      <c r="KBJ19" s="85"/>
      <c r="KBK19" s="85"/>
      <c r="KBL19" s="85"/>
      <c r="KBM19" s="85"/>
      <c r="KBN19" s="85"/>
      <c r="KBO19" s="85"/>
      <c r="KBP19" s="85"/>
      <c r="KBQ19" s="85"/>
      <c r="KBR19" s="85"/>
      <c r="KBS19" s="85"/>
      <c r="KBT19" s="85"/>
      <c r="KBU19" s="85"/>
      <c r="KBV19" s="85"/>
      <c r="KBW19" s="85"/>
      <c r="KBX19" s="85"/>
      <c r="KBY19" s="85"/>
      <c r="KBZ19" s="85"/>
      <c r="KCA19" s="85"/>
      <c r="KCB19" s="85"/>
      <c r="KCC19" s="85"/>
      <c r="KCD19" s="85"/>
      <c r="KCE19" s="85"/>
      <c r="KCF19" s="85"/>
      <c r="KCG19" s="85"/>
      <c r="KCH19" s="85"/>
      <c r="KCI19" s="85"/>
      <c r="KCJ19" s="85"/>
      <c r="KCK19" s="85"/>
      <c r="KCL19" s="85"/>
      <c r="KCM19" s="85"/>
      <c r="KCN19" s="85"/>
      <c r="KCO19" s="85"/>
      <c r="KCP19" s="85"/>
      <c r="KCQ19" s="85"/>
      <c r="KCR19" s="85"/>
      <c r="KCS19" s="85"/>
      <c r="KCT19" s="85"/>
      <c r="KCU19" s="85"/>
      <c r="KCV19" s="85"/>
      <c r="KCW19" s="85"/>
      <c r="KCX19" s="85"/>
      <c r="KCY19" s="85"/>
      <c r="KCZ19" s="85"/>
      <c r="KDA19" s="85"/>
      <c r="KDB19" s="85"/>
      <c r="KDC19" s="85"/>
      <c r="KDD19" s="85"/>
      <c r="KDE19" s="85"/>
      <c r="KDF19" s="85"/>
      <c r="KDG19" s="85"/>
      <c r="KDH19" s="85"/>
      <c r="KDI19" s="85"/>
      <c r="KDJ19" s="85"/>
      <c r="KDK19" s="85"/>
      <c r="KDL19" s="85"/>
      <c r="KDM19" s="85"/>
      <c r="KDN19" s="85"/>
      <c r="KDO19" s="85"/>
      <c r="KDP19" s="85"/>
      <c r="KDQ19" s="85"/>
      <c r="KDR19" s="85"/>
      <c r="KDS19" s="85"/>
      <c r="KDT19" s="85"/>
      <c r="KDU19" s="85"/>
      <c r="KDV19" s="85"/>
      <c r="KDW19" s="85"/>
      <c r="KDX19" s="85"/>
      <c r="KDY19" s="85"/>
      <c r="KDZ19" s="85"/>
      <c r="KEA19" s="85"/>
      <c r="KEB19" s="85"/>
      <c r="KEC19" s="85"/>
      <c r="KED19" s="85"/>
      <c r="KEE19" s="85"/>
      <c r="KEF19" s="85"/>
      <c r="KEG19" s="85"/>
      <c r="KEH19" s="85"/>
      <c r="KEI19" s="85"/>
      <c r="KEJ19" s="85"/>
      <c r="KEK19" s="85"/>
      <c r="KEL19" s="85"/>
      <c r="KEM19" s="85"/>
      <c r="KEN19" s="85"/>
      <c r="KEO19" s="85"/>
      <c r="KEP19" s="85"/>
      <c r="KEQ19" s="85"/>
      <c r="KER19" s="85"/>
      <c r="KES19" s="85"/>
      <c r="KET19" s="85"/>
      <c r="KEU19" s="85"/>
      <c r="KEV19" s="85"/>
      <c r="KEW19" s="85"/>
      <c r="KEX19" s="85"/>
      <c r="KEY19" s="85"/>
      <c r="KEZ19" s="85"/>
      <c r="KFA19" s="85"/>
      <c r="KFB19" s="85"/>
      <c r="KFC19" s="85"/>
      <c r="KFD19" s="85"/>
      <c r="KFE19" s="85"/>
      <c r="KFF19" s="85"/>
      <c r="KFG19" s="85"/>
      <c r="KFH19" s="85"/>
      <c r="KFI19" s="85"/>
      <c r="KFJ19" s="85"/>
      <c r="KFK19" s="85"/>
      <c r="KFL19" s="85"/>
      <c r="KFM19" s="85"/>
      <c r="KFN19" s="85"/>
      <c r="KFO19" s="85"/>
      <c r="KFP19" s="85"/>
      <c r="KFQ19" s="85"/>
      <c r="KFR19" s="85"/>
      <c r="KFS19" s="85"/>
      <c r="KFT19" s="85"/>
      <c r="KFU19" s="85"/>
      <c r="KFV19" s="85"/>
      <c r="KFW19" s="85"/>
      <c r="KFX19" s="85"/>
      <c r="KFY19" s="85"/>
      <c r="KFZ19" s="85"/>
      <c r="KGA19" s="85"/>
      <c r="KGB19" s="85"/>
      <c r="KGC19" s="85"/>
      <c r="KGD19" s="85"/>
      <c r="KGE19" s="85"/>
      <c r="KGF19" s="85"/>
      <c r="KGG19" s="85"/>
      <c r="KGH19" s="85"/>
      <c r="KGI19" s="85"/>
      <c r="KGJ19" s="85"/>
      <c r="KGK19" s="85"/>
      <c r="KGL19" s="85"/>
      <c r="KGM19" s="85"/>
      <c r="KGN19" s="85"/>
      <c r="KGO19" s="85"/>
      <c r="KGP19" s="85"/>
      <c r="KGQ19" s="85"/>
      <c r="KGR19" s="85"/>
      <c r="KGS19" s="85"/>
      <c r="KGT19" s="85"/>
      <c r="KGU19" s="85"/>
      <c r="KGV19" s="85"/>
      <c r="KGW19" s="85"/>
      <c r="KGX19" s="85"/>
      <c r="KGY19" s="85"/>
      <c r="KGZ19" s="85"/>
      <c r="KHA19" s="85"/>
      <c r="KHB19" s="85"/>
      <c r="KHC19" s="85"/>
      <c r="KHD19" s="85"/>
      <c r="KHE19" s="85"/>
      <c r="KHF19" s="85"/>
      <c r="KHG19" s="85"/>
      <c r="KHH19" s="85"/>
      <c r="KHI19" s="85"/>
      <c r="KHJ19" s="85"/>
      <c r="KHK19" s="85"/>
      <c r="KHL19" s="85"/>
      <c r="KHM19" s="85"/>
      <c r="KHN19" s="85"/>
      <c r="KHO19" s="85"/>
      <c r="KHP19" s="85"/>
      <c r="KHQ19" s="85"/>
      <c r="KHR19" s="85"/>
      <c r="KHS19" s="85"/>
      <c r="KHT19" s="85"/>
      <c r="KHU19" s="85"/>
      <c r="KHV19" s="85"/>
      <c r="KHW19" s="85"/>
      <c r="KHX19" s="85"/>
      <c r="KHY19" s="85"/>
      <c r="KHZ19" s="85"/>
      <c r="KIA19" s="85"/>
      <c r="KIB19" s="85"/>
      <c r="KIC19" s="85"/>
      <c r="KID19" s="85"/>
      <c r="KIE19" s="85"/>
      <c r="KIF19" s="85"/>
      <c r="KIG19" s="85"/>
      <c r="KIH19" s="85"/>
      <c r="KII19" s="85"/>
      <c r="KIJ19" s="85"/>
      <c r="KIK19" s="85"/>
      <c r="KIL19" s="85"/>
      <c r="KIM19" s="85"/>
      <c r="KIN19" s="85"/>
      <c r="KIO19" s="85"/>
      <c r="KIP19" s="85"/>
      <c r="KIQ19" s="85"/>
      <c r="KIR19" s="85"/>
      <c r="KIS19" s="85"/>
      <c r="KIT19" s="85"/>
      <c r="KIU19" s="85"/>
      <c r="KIV19" s="85"/>
      <c r="KIW19" s="85"/>
      <c r="KIX19" s="85"/>
      <c r="KIY19" s="85"/>
      <c r="KIZ19" s="85"/>
      <c r="KJA19" s="85"/>
      <c r="KJB19" s="85"/>
      <c r="KJC19" s="85"/>
      <c r="KJD19" s="85"/>
      <c r="KJE19" s="85"/>
      <c r="KJF19" s="85"/>
      <c r="KJG19" s="85"/>
      <c r="KJH19" s="85"/>
      <c r="KJI19" s="85"/>
      <c r="KJJ19" s="85"/>
      <c r="KJK19" s="85"/>
      <c r="KJL19" s="85"/>
      <c r="KJM19" s="85"/>
      <c r="KJN19" s="85"/>
      <c r="KJO19" s="85"/>
      <c r="KJP19" s="85"/>
      <c r="KJQ19" s="85"/>
      <c r="KJR19" s="85"/>
      <c r="KJS19" s="85"/>
      <c r="KJT19" s="85"/>
      <c r="KJU19" s="85"/>
      <c r="KJV19" s="85"/>
      <c r="KJW19" s="85"/>
      <c r="KJX19" s="85"/>
      <c r="KJY19" s="85"/>
      <c r="KJZ19" s="85"/>
      <c r="KKA19" s="85"/>
      <c r="KKB19" s="85"/>
      <c r="KKC19" s="85"/>
      <c r="KKD19" s="85"/>
      <c r="KKE19" s="85"/>
      <c r="KKF19" s="85"/>
      <c r="KKG19" s="85"/>
      <c r="KKH19" s="85"/>
      <c r="KKI19" s="85"/>
      <c r="KKJ19" s="85"/>
      <c r="KKK19" s="85"/>
      <c r="KKL19" s="85"/>
      <c r="KKM19" s="85"/>
      <c r="KKN19" s="85"/>
      <c r="KKO19" s="85"/>
      <c r="KKP19" s="85"/>
      <c r="KKQ19" s="85"/>
      <c r="KKR19" s="85"/>
      <c r="KKS19" s="85"/>
      <c r="KKT19" s="85"/>
      <c r="KKU19" s="85"/>
      <c r="KKV19" s="85"/>
      <c r="KKW19" s="85"/>
      <c r="KKX19" s="85"/>
      <c r="KKY19" s="85"/>
      <c r="KKZ19" s="85"/>
      <c r="KLA19" s="85"/>
      <c r="KLB19" s="85"/>
      <c r="KLC19" s="85"/>
      <c r="KLD19" s="85"/>
      <c r="KLE19" s="85"/>
      <c r="KLF19" s="85"/>
      <c r="KLG19" s="85"/>
      <c r="KLH19" s="85"/>
      <c r="KLI19" s="85"/>
      <c r="KLJ19" s="85"/>
      <c r="KLK19" s="85"/>
      <c r="KLL19" s="85"/>
      <c r="KLM19" s="85"/>
      <c r="KLN19" s="85"/>
      <c r="KLO19" s="85"/>
      <c r="KLP19" s="85"/>
      <c r="KLQ19" s="85"/>
      <c r="KLR19" s="85"/>
      <c r="KLS19" s="85"/>
      <c r="KLT19" s="85"/>
      <c r="KLU19" s="85"/>
      <c r="KLV19" s="85"/>
      <c r="KLW19" s="85"/>
      <c r="KLX19" s="85"/>
      <c r="KLY19" s="85"/>
      <c r="KLZ19" s="85"/>
      <c r="KMA19" s="85"/>
      <c r="KMB19" s="85"/>
      <c r="KMC19" s="85"/>
      <c r="KMD19" s="85"/>
      <c r="KME19" s="85"/>
      <c r="KMF19" s="85"/>
      <c r="KMG19" s="85"/>
      <c r="KMH19" s="85"/>
      <c r="KMI19" s="85"/>
      <c r="KMJ19" s="85"/>
      <c r="KMK19" s="85"/>
      <c r="KML19" s="85"/>
      <c r="KMM19" s="85"/>
      <c r="KMN19" s="85"/>
      <c r="KMO19" s="85"/>
      <c r="KMP19" s="85"/>
      <c r="KMQ19" s="85"/>
      <c r="KMR19" s="85"/>
      <c r="KMS19" s="85"/>
      <c r="KMT19" s="85"/>
      <c r="KMU19" s="85"/>
      <c r="KMV19" s="85"/>
      <c r="KMW19" s="85"/>
      <c r="KMX19" s="85"/>
      <c r="KMY19" s="85"/>
      <c r="KMZ19" s="85"/>
      <c r="KNA19" s="85"/>
      <c r="KNB19" s="85"/>
      <c r="KNC19" s="85"/>
      <c r="KND19" s="85"/>
      <c r="KNE19" s="85"/>
      <c r="KNF19" s="85"/>
      <c r="KNG19" s="85"/>
      <c r="KNH19" s="85"/>
      <c r="KNI19" s="85"/>
      <c r="KNJ19" s="85"/>
      <c r="KNK19" s="85"/>
      <c r="KNL19" s="85"/>
      <c r="KNM19" s="85"/>
      <c r="KNN19" s="85"/>
      <c r="KNO19" s="85"/>
      <c r="KNP19" s="85"/>
      <c r="KNQ19" s="85"/>
      <c r="KNR19" s="85"/>
      <c r="KNS19" s="85"/>
      <c r="KNT19" s="85"/>
      <c r="KNU19" s="85"/>
      <c r="KNV19" s="85"/>
      <c r="KNW19" s="85"/>
      <c r="KNX19" s="85"/>
      <c r="KNY19" s="85"/>
      <c r="KNZ19" s="85"/>
      <c r="KOA19" s="85"/>
      <c r="KOB19" s="85"/>
      <c r="KOC19" s="85"/>
      <c r="KOD19" s="85"/>
      <c r="KOE19" s="85"/>
      <c r="KOF19" s="85"/>
      <c r="KOG19" s="85"/>
      <c r="KOH19" s="85"/>
      <c r="KOI19" s="85"/>
      <c r="KOJ19" s="85"/>
      <c r="KOK19" s="85"/>
      <c r="KOL19" s="85"/>
      <c r="KOM19" s="85"/>
      <c r="KON19" s="85"/>
      <c r="KOO19" s="85"/>
      <c r="KOP19" s="85"/>
      <c r="KOQ19" s="85"/>
      <c r="KOR19" s="85"/>
      <c r="KOS19" s="85"/>
      <c r="KOT19" s="85"/>
      <c r="KOU19" s="85"/>
      <c r="KOV19" s="85"/>
      <c r="KOW19" s="85"/>
      <c r="KOX19" s="85"/>
      <c r="KOY19" s="85"/>
      <c r="KOZ19" s="85"/>
      <c r="KPA19" s="85"/>
      <c r="KPB19" s="85"/>
      <c r="KPC19" s="85"/>
      <c r="KPD19" s="85"/>
      <c r="KPE19" s="85"/>
      <c r="KPF19" s="85"/>
      <c r="KPG19" s="85"/>
      <c r="KPH19" s="85"/>
      <c r="KPI19" s="85"/>
      <c r="KPJ19" s="85"/>
      <c r="KPK19" s="85"/>
      <c r="KPL19" s="85"/>
      <c r="KPM19" s="85"/>
      <c r="KPN19" s="85"/>
      <c r="KPO19" s="85"/>
      <c r="KPP19" s="85"/>
      <c r="KPQ19" s="85"/>
      <c r="KPR19" s="85"/>
      <c r="KPS19" s="85"/>
      <c r="KPT19" s="85"/>
      <c r="KPU19" s="85"/>
      <c r="KPV19" s="85"/>
      <c r="KPW19" s="85"/>
      <c r="KPX19" s="85"/>
      <c r="KPY19" s="85"/>
      <c r="KPZ19" s="85"/>
      <c r="KQA19" s="85"/>
      <c r="KQB19" s="85"/>
      <c r="KQC19" s="85"/>
      <c r="KQD19" s="85"/>
      <c r="KQE19" s="85"/>
      <c r="KQF19" s="85"/>
      <c r="KQG19" s="85"/>
      <c r="KQH19" s="85"/>
      <c r="KQI19" s="85"/>
      <c r="KQJ19" s="85"/>
      <c r="KQK19" s="85"/>
      <c r="KQL19" s="85"/>
      <c r="KQM19" s="85"/>
      <c r="KQN19" s="85"/>
      <c r="KQO19" s="85"/>
      <c r="KQP19" s="85"/>
      <c r="KQQ19" s="85"/>
      <c r="KQR19" s="85"/>
      <c r="KQS19" s="85"/>
      <c r="KQT19" s="85"/>
      <c r="KQU19" s="85"/>
      <c r="KQV19" s="85"/>
      <c r="KQW19" s="85"/>
      <c r="KQX19" s="85"/>
      <c r="KQY19" s="85"/>
      <c r="KQZ19" s="85"/>
      <c r="KRA19" s="85"/>
      <c r="KRB19" s="85"/>
      <c r="KRC19" s="85"/>
      <c r="KRD19" s="85"/>
      <c r="KRE19" s="85"/>
      <c r="KRF19" s="85"/>
      <c r="KRG19" s="85"/>
      <c r="KRH19" s="85"/>
      <c r="KRI19" s="85"/>
      <c r="KRJ19" s="85"/>
      <c r="KRK19" s="85"/>
      <c r="KRL19" s="85"/>
      <c r="KRM19" s="85"/>
      <c r="KRN19" s="85"/>
      <c r="KRO19" s="85"/>
      <c r="KRP19" s="85"/>
      <c r="KRQ19" s="85"/>
      <c r="KRR19" s="85"/>
      <c r="KRS19" s="85"/>
      <c r="KRT19" s="85"/>
      <c r="KRU19" s="85"/>
      <c r="KRV19" s="85"/>
      <c r="KRW19" s="85"/>
      <c r="KRX19" s="85"/>
      <c r="KRY19" s="85"/>
      <c r="KRZ19" s="85"/>
      <c r="KSA19" s="85"/>
      <c r="KSB19" s="85"/>
      <c r="KSC19" s="85"/>
      <c r="KSD19" s="85"/>
      <c r="KSE19" s="85"/>
      <c r="KSF19" s="85"/>
      <c r="KSG19" s="85"/>
      <c r="KSH19" s="85"/>
      <c r="KSI19" s="85"/>
      <c r="KSJ19" s="85"/>
      <c r="KSK19" s="85"/>
      <c r="KSL19" s="85"/>
      <c r="KSM19" s="85"/>
      <c r="KSN19" s="85"/>
      <c r="KSO19" s="85"/>
      <c r="KSP19" s="85"/>
      <c r="KSQ19" s="85"/>
      <c r="KSR19" s="85"/>
      <c r="KSS19" s="85"/>
      <c r="KST19" s="85"/>
      <c r="KSU19" s="85"/>
      <c r="KSV19" s="85"/>
      <c r="KSW19" s="85"/>
      <c r="KSX19" s="85"/>
      <c r="KSY19" s="85"/>
      <c r="KSZ19" s="85"/>
      <c r="KTA19" s="85"/>
      <c r="KTB19" s="85"/>
      <c r="KTC19" s="85"/>
      <c r="KTD19" s="85"/>
      <c r="KTE19" s="85"/>
      <c r="KTF19" s="85"/>
      <c r="KTG19" s="85"/>
      <c r="KTH19" s="85"/>
      <c r="KTI19" s="85"/>
      <c r="KTJ19" s="85"/>
      <c r="KTK19" s="85"/>
      <c r="KTL19" s="85"/>
      <c r="KTM19" s="85"/>
      <c r="KTN19" s="85"/>
      <c r="KTO19" s="85"/>
      <c r="KTP19" s="85"/>
      <c r="KTQ19" s="85"/>
      <c r="KTR19" s="85"/>
      <c r="KTS19" s="85"/>
      <c r="KTT19" s="85"/>
      <c r="KTU19" s="85"/>
      <c r="KTV19" s="85"/>
      <c r="KTW19" s="85"/>
      <c r="KTX19" s="85"/>
      <c r="KTY19" s="85"/>
      <c r="KTZ19" s="85"/>
      <c r="KUA19" s="85"/>
      <c r="KUB19" s="85"/>
      <c r="KUC19" s="85"/>
      <c r="KUD19" s="85"/>
      <c r="KUE19" s="85"/>
      <c r="KUF19" s="85"/>
      <c r="KUG19" s="85"/>
      <c r="KUH19" s="85"/>
      <c r="KUI19" s="85"/>
      <c r="KUJ19" s="85"/>
      <c r="KUK19" s="85"/>
      <c r="KUL19" s="85"/>
      <c r="KUM19" s="85"/>
      <c r="KUN19" s="85"/>
      <c r="KUO19" s="85"/>
      <c r="KUP19" s="85"/>
      <c r="KUQ19" s="85"/>
      <c r="KUR19" s="85"/>
      <c r="KUS19" s="85"/>
      <c r="KUT19" s="85"/>
      <c r="KUU19" s="85"/>
      <c r="KUV19" s="85"/>
      <c r="KUW19" s="85"/>
      <c r="KUX19" s="85"/>
      <c r="KUY19" s="85"/>
      <c r="KUZ19" s="85"/>
      <c r="KVA19" s="85"/>
      <c r="KVB19" s="85"/>
      <c r="KVC19" s="85"/>
      <c r="KVD19" s="85"/>
      <c r="KVE19" s="85"/>
      <c r="KVF19" s="85"/>
      <c r="KVG19" s="85"/>
      <c r="KVH19" s="85"/>
      <c r="KVI19" s="85"/>
      <c r="KVJ19" s="85"/>
      <c r="KVK19" s="85"/>
      <c r="KVL19" s="85"/>
      <c r="KVM19" s="85"/>
      <c r="KVN19" s="85"/>
      <c r="KVO19" s="85"/>
      <c r="KVP19" s="85"/>
      <c r="KVQ19" s="85"/>
      <c r="KVR19" s="85"/>
      <c r="KVS19" s="85"/>
      <c r="KVT19" s="85"/>
      <c r="KVU19" s="85"/>
      <c r="KVV19" s="85"/>
      <c r="KVW19" s="85"/>
      <c r="KVX19" s="85"/>
      <c r="KVY19" s="85"/>
      <c r="KVZ19" s="85"/>
      <c r="KWA19" s="85"/>
      <c r="KWB19" s="85"/>
      <c r="KWC19" s="85"/>
      <c r="KWD19" s="85"/>
      <c r="KWE19" s="85"/>
      <c r="KWF19" s="85"/>
      <c r="KWG19" s="85"/>
      <c r="KWH19" s="85"/>
      <c r="KWI19" s="85"/>
      <c r="KWJ19" s="85"/>
      <c r="KWK19" s="85"/>
      <c r="KWL19" s="85"/>
      <c r="KWM19" s="85"/>
      <c r="KWN19" s="85"/>
      <c r="KWO19" s="85"/>
      <c r="KWP19" s="85"/>
      <c r="KWQ19" s="85"/>
      <c r="KWR19" s="85"/>
      <c r="KWS19" s="85"/>
      <c r="KWT19" s="85"/>
      <c r="KWU19" s="85"/>
      <c r="KWV19" s="85"/>
      <c r="KWW19" s="85"/>
      <c r="KWX19" s="85"/>
      <c r="KWY19" s="85"/>
      <c r="KWZ19" s="85"/>
      <c r="KXA19" s="85"/>
      <c r="KXB19" s="85"/>
      <c r="KXC19" s="85"/>
      <c r="KXD19" s="85"/>
      <c r="KXE19" s="85"/>
      <c r="KXF19" s="85"/>
      <c r="KXG19" s="85"/>
      <c r="KXH19" s="85"/>
      <c r="KXI19" s="85"/>
      <c r="KXJ19" s="85"/>
      <c r="KXK19" s="85"/>
      <c r="KXL19" s="85"/>
      <c r="KXM19" s="85"/>
      <c r="KXN19" s="85"/>
      <c r="KXO19" s="85"/>
      <c r="KXP19" s="85"/>
      <c r="KXQ19" s="85"/>
      <c r="KXR19" s="85"/>
      <c r="KXS19" s="85"/>
      <c r="KXT19" s="85"/>
      <c r="KXU19" s="85"/>
      <c r="KXV19" s="85"/>
      <c r="KXW19" s="85"/>
      <c r="KXX19" s="85"/>
      <c r="KXY19" s="85"/>
      <c r="KXZ19" s="85"/>
      <c r="KYA19" s="85"/>
      <c r="KYB19" s="85"/>
      <c r="KYC19" s="85"/>
      <c r="KYD19" s="85"/>
      <c r="KYE19" s="85"/>
      <c r="KYF19" s="85"/>
      <c r="KYG19" s="85"/>
      <c r="KYH19" s="85"/>
      <c r="KYI19" s="85"/>
      <c r="KYJ19" s="85"/>
      <c r="KYK19" s="85"/>
      <c r="KYL19" s="85"/>
      <c r="KYM19" s="85"/>
      <c r="KYN19" s="85"/>
      <c r="KYO19" s="85"/>
      <c r="KYP19" s="85"/>
      <c r="KYQ19" s="85"/>
      <c r="KYR19" s="85"/>
      <c r="KYS19" s="85"/>
      <c r="KYT19" s="85"/>
      <c r="KYU19" s="85"/>
      <c r="KYV19" s="85"/>
      <c r="KYW19" s="85"/>
      <c r="KYX19" s="85"/>
      <c r="KYY19" s="85"/>
      <c r="KYZ19" s="85"/>
      <c r="KZA19" s="85"/>
      <c r="KZB19" s="85"/>
      <c r="KZC19" s="85"/>
      <c r="KZD19" s="85"/>
      <c r="KZE19" s="85"/>
      <c r="KZF19" s="85"/>
      <c r="KZG19" s="85"/>
      <c r="KZH19" s="85"/>
      <c r="KZI19" s="85"/>
      <c r="KZJ19" s="85"/>
      <c r="KZK19" s="85"/>
      <c r="KZL19" s="85"/>
      <c r="KZM19" s="85"/>
      <c r="KZN19" s="85"/>
      <c r="KZO19" s="85"/>
      <c r="KZP19" s="85"/>
      <c r="KZQ19" s="85"/>
      <c r="KZR19" s="85"/>
      <c r="KZS19" s="85"/>
      <c r="KZT19" s="85"/>
      <c r="KZU19" s="85"/>
      <c r="KZV19" s="85"/>
      <c r="KZW19" s="85"/>
      <c r="KZX19" s="85"/>
      <c r="KZY19" s="85"/>
      <c r="KZZ19" s="85"/>
      <c r="LAA19" s="85"/>
      <c r="LAB19" s="85"/>
      <c r="LAC19" s="85"/>
      <c r="LAD19" s="85"/>
      <c r="LAE19" s="85"/>
      <c r="LAF19" s="85"/>
      <c r="LAG19" s="85"/>
      <c r="LAH19" s="85"/>
      <c r="LAI19" s="85"/>
      <c r="LAJ19" s="85"/>
      <c r="LAK19" s="85"/>
      <c r="LAL19" s="85"/>
      <c r="LAM19" s="85"/>
      <c r="LAN19" s="85"/>
      <c r="LAO19" s="85"/>
      <c r="LAP19" s="85"/>
      <c r="LAQ19" s="85"/>
      <c r="LAR19" s="85"/>
      <c r="LAS19" s="85"/>
      <c r="LAT19" s="85"/>
      <c r="LAU19" s="85"/>
      <c r="LAV19" s="85"/>
      <c r="LAW19" s="85"/>
      <c r="LAX19" s="85"/>
      <c r="LAY19" s="85"/>
      <c r="LAZ19" s="85"/>
      <c r="LBA19" s="85"/>
      <c r="LBB19" s="85"/>
      <c r="LBC19" s="85"/>
      <c r="LBD19" s="85"/>
      <c r="LBE19" s="85"/>
      <c r="LBF19" s="85"/>
      <c r="LBG19" s="85"/>
      <c r="LBH19" s="85"/>
      <c r="LBI19" s="85"/>
      <c r="LBJ19" s="85"/>
      <c r="LBK19" s="85"/>
      <c r="LBL19" s="85"/>
      <c r="LBM19" s="85"/>
      <c r="LBN19" s="85"/>
      <c r="LBO19" s="85"/>
      <c r="LBP19" s="85"/>
      <c r="LBQ19" s="85"/>
      <c r="LBR19" s="85"/>
      <c r="LBS19" s="85"/>
      <c r="LBT19" s="85"/>
      <c r="LBU19" s="85"/>
      <c r="LBV19" s="85"/>
      <c r="LBW19" s="85"/>
      <c r="LBX19" s="85"/>
      <c r="LBY19" s="85"/>
      <c r="LBZ19" s="85"/>
      <c r="LCA19" s="85"/>
      <c r="LCB19" s="85"/>
      <c r="LCC19" s="85"/>
      <c r="LCD19" s="85"/>
      <c r="LCE19" s="85"/>
      <c r="LCF19" s="85"/>
      <c r="LCG19" s="85"/>
      <c r="LCH19" s="85"/>
      <c r="LCI19" s="85"/>
      <c r="LCJ19" s="85"/>
      <c r="LCK19" s="85"/>
      <c r="LCL19" s="85"/>
      <c r="LCM19" s="85"/>
      <c r="LCN19" s="85"/>
      <c r="LCO19" s="85"/>
      <c r="LCP19" s="85"/>
      <c r="LCQ19" s="85"/>
      <c r="LCR19" s="85"/>
      <c r="LCS19" s="85"/>
      <c r="LCT19" s="85"/>
      <c r="LCU19" s="85"/>
      <c r="LCV19" s="85"/>
      <c r="LCW19" s="85"/>
      <c r="LCX19" s="85"/>
      <c r="LCY19" s="85"/>
      <c r="LCZ19" s="85"/>
      <c r="LDA19" s="85"/>
      <c r="LDB19" s="85"/>
      <c r="LDC19" s="85"/>
      <c r="LDD19" s="85"/>
      <c r="LDE19" s="85"/>
      <c r="LDF19" s="85"/>
      <c r="LDG19" s="85"/>
      <c r="LDH19" s="85"/>
      <c r="LDI19" s="85"/>
      <c r="LDJ19" s="85"/>
      <c r="LDK19" s="85"/>
      <c r="LDL19" s="85"/>
      <c r="LDM19" s="85"/>
      <c r="LDN19" s="85"/>
      <c r="LDO19" s="85"/>
      <c r="LDP19" s="85"/>
      <c r="LDQ19" s="85"/>
      <c r="LDR19" s="85"/>
      <c r="LDS19" s="85"/>
      <c r="LDT19" s="85"/>
      <c r="LDU19" s="85"/>
      <c r="LDV19" s="85"/>
      <c r="LDW19" s="85"/>
      <c r="LDX19" s="85"/>
      <c r="LDY19" s="85"/>
      <c r="LDZ19" s="85"/>
      <c r="LEA19" s="85"/>
      <c r="LEB19" s="85"/>
      <c r="LEC19" s="85"/>
      <c r="LED19" s="85"/>
      <c r="LEE19" s="85"/>
      <c r="LEF19" s="85"/>
      <c r="LEG19" s="85"/>
      <c r="LEH19" s="85"/>
      <c r="LEI19" s="85"/>
      <c r="LEJ19" s="85"/>
      <c r="LEK19" s="85"/>
      <c r="LEL19" s="85"/>
      <c r="LEM19" s="85"/>
      <c r="LEN19" s="85"/>
      <c r="LEO19" s="85"/>
      <c r="LEP19" s="85"/>
      <c r="LEQ19" s="85"/>
      <c r="LER19" s="85"/>
      <c r="LES19" s="85"/>
      <c r="LET19" s="85"/>
      <c r="LEU19" s="85"/>
      <c r="LEV19" s="85"/>
      <c r="LEW19" s="85"/>
      <c r="LEX19" s="85"/>
      <c r="LEY19" s="85"/>
      <c r="LEZ19" s="85"/>
      <c r="LFA19" s="85"/>
      <c r="LFB19" s="85"/>
      <c r="LFC19" s="85"/>
      <c r="LFD19" s="85"/>
      <c r="LFE19" s="85"/>
      <c r="LFF19" s="85"/>
      <c r="LFG19" s="85"/>
      <c r="LFH19" s="85"/>
      <c r="LFI19" s="85"/>
      <c r="LFJ19" s="85"/>
      <c r="LFK19" s="85"/>
      <c r="LFL19" s="85"/>
      <c r="LFM19" s="85"/>
      <c r="LFN19" s="85"/>
      <c r="LFO19" s="85"/>
      <c r="LFP19" s="85"/>
      <c r="LFQ19" s="85"/>
      <c r="LFR19" s="85"/>
      <c r="LFS19" s="85"/>
      <c r="LFT19" s="85"/>
      <c r="LFU19" s="85"/>
      <c r="LFV19" s="85"/>
      <c r="LFW19" s="85"/>
      <c r="LFX19" s="85"/>
      <c r="LFY19" s="85"/>
      <c r="LFZ19" s="85"/>
      <c r="LGA19" s="85"/>
      <c r="LGB19" s="85"/>
      <c r="LGC19" s="85"/>
      <c r="LGD19" s="85"/>
      <c r="LGE19" s="85"/>
      <c r="LGF19" s="85"/>
      <c r="LGG19" s="85"/>
      <c r="LGH19" s="85"/>
      <c r="LGI19" s="85"/>
      <c r="LGJ19" s="85"/>
      <c r="LGK19" s="85"/>
      <c r="LGL19" s="85"/>
      <c r="LGM19" s="85"/>
      <c r="LGN19" s="85"/>
      <c r="LGO19" s="85"/>
      <c r="LGP19" s="85"/>
      <c r="LGQ19" s="85"/>
      <c r="LGR19" s="85"/>
      <c r="LGS19" s="85"/>
      <c r="LGT19" s="85"/>
      <c r="LGU19" s="85"/>
      <c r="LGV19" s="85"/>
      <c r="LGW19" s="85"/>
      <c r="LGX19" s="85"/>
      <c r="LGY19" s="85"/>
      <c r="LGZ19" s="85"/>
      <c r="LHA19" s="85"/>
      <c r="LHB19" s="85"/>
      <c r="LHC19" s="85"/>
      <c r="LHD19" s="85"/>
      <c r="LHE19" s="85"/>
      <c r="LHF19" s="85"/>
      <c r="LHG19" s="85"/>
      <c r="LHH19" s="85"/>
      <c r="LHI19" s="85"/>
      <c r="LHJ19" s="85"/>
      <c r="LHK19" s="85"/>
      <c r="LHL19" s="85"/>
      <c r="LHM19" s="85"/>
      <c r="LHN19" s="85"/>
      <c r="LHO19" s="85"/>
      <c r="LHP19" s="85"/>
      <c r="LHQ19" s="85"/>
      <c r="LHR19" s="85"/>
      <c r="LHS19" s="85"/>
      <c r="LHT19" s="85"/>
      <c r="LHU19" s="85"/>
      <c r="LHV19" s="85"/>
      <c r="LHW19" s="85"/>
      <c r="LHX19" s="85"/>
      <c r="LHY19" s="85"/>
      <c r="LHZ19" s="85"/>
      <c r="LIA19" s="85"/>
      <c r="LIB19" s="85"/>
      <c r="LIC19" s="85"/>
      <c r="LID19" s="85"/>
      <c r="LIE19" s="85"/>
      <c r="LIF19" s="85"/>
      <c r="LIG19" s="85"/>
      <c r="LIH19" s="85"/>
      <c r="LII19" s="85"/>
      <c r="LIJ19" s="85"/>
      <c r="LIK19" s="85"/>
      <c r="LIL19" s="85"/>
      <c r="LIM19" s="85"/>
      <c r="LIN19" s="85"/>
      <c r="LIO19" s="85"/>
      <c r="LIP19" s="85"/>
      <c r="LIQ19" s="85"/>
      <c r="LIR19" s="85"/>
      <c r="LIS19" s="85"/>
      <c r="LIT19" s="85"/>
      <c r="LIU19" s="85"/>
      <c r="LIV19" s="85"/>
      <c r="LIW19" s="85"/>
      <c r="LIX19" s="85"/>
      <c r="LIY19" s="85"/>
      <c r="LIZ19" s="85"/>
      <c r="LJA19" s="85"/>
      <c r="LJB19" s="85"/>
      <c r="LJC19" s="85"/>
      <c r="LJD19" s="85"/>
      <c r="LJE19" s="85"/>
      <c r="LJF19" s="85"/>
      <c r="LJG19" s="85"/>
      <c r="LJH19" s="85"/>
      <c r="LJI19" s="85"/>
      <c r="LJJ19" s="85"/>
      <c r="LJK19" s="85"/>
      <c r="LJL19" s="85"/>
      <c r="LJM19" s="85"/>
      <c r="LJN19" s="85"/>
      <c r="LJO19" s="85"/>
      <c r="LJP19" s="85"/>
      <c r="LJQ19" s="85"/>
      <c r="LJR19" s="85"/>
      <c r="LJS19" s="85"/>
      <c r="LJT19" s="85"/>
      <c r="LJU19" s="85"/>
      <c r="LJV19" s="85"/>
      <c r="LJW19" s="85"/>
      <c r="LJX19" s="85"/>
      <c r="LJY19" s="85"/>
      <c r="LJZ19" s="85"/>
      <c r="LKA19" s="85"/>
      <c r="LKB19" s="85"/>
      <c r="LKC19" s="85"/>
      <c r="LKD19" s="85"/>
      <c r="LKE19" s="85"/>
      <c r="LKF19" s="85"/>
      <c r="LKG19" s="85"/>
      <c r="LKH19" s="85"/>
      <c r="LKI19" s="85"/>
      <c r="LKJ19" s="85"/>
      <c r="LKK19" s="85"/>
      <c r="LKL19" s="85"/>
      <c r="LKM19" s="85"/>
      <c r="LKN19" s="85"/>
      <c r="LKO19" s="85"/>
      <c r="LKP19" s="85"/>
      <c r="LKQ19" s="85"/>
      <c r="LKR19" s="85"/>
      <c r="LKS19" s="85"/>
      <c r="LKT19" s="85"/>
      <c r="LKU19" s="85"/>
      <c r="LKV19" s="85"/>
      <c r="LKW19" s="85"/>
      <c r="LKX19" s="85"/>
      <c r="LKY19" s="85"/>
      <c r="LKZ19" s="85"/>
      <c r="LLA19" s="85"/>
      <c r="LLB19" s="85"/>
      <c r="LLC19" s="85"/>
      <c r="LLD19" s="85"/>
      <c r="LLE19" s="85"/>
      <c r="LLF19" s="85"/>
      <c r="LLG19" s="85"/>
      <c r="LLH19" s="85"/>
      <c r="LLI19" s="85"/>
      <c r="LLJ19" s="85"/>
      <c r="LLK19" s="85"/>
      <c r="LLL19" s="85"/>
      <c r="LLM19" s="85"/>
      <c r="LLN19" s="85"/>
      <c r="LLO19" s="85"/>
      <c r="LLP19" s="85"/>
      <c r="LLQ19" s="85"/>
      <c r="LLR19" s="85"/>
      <c r="LLS19" s="85"/>
      <c r="LLT19" s="85"/>
      <c r="LLU19" s="85"/>
      <c r="LLV19" s="85"/>
      <c r="LLW19" s="85"/>
      <c r="LLX19" s="85"/>
      <c r="LLY19" s="85"/>
      <c r="LLZ19" s="85"/>
      <c r="LMA19" s="85"/>
      <c r="LMB19" s="85"/>
      <c r="LMC19" s="85"/>
      <c r="LMD19" s="85"/>
      <c r="LME19" s="85"/>
      <c r="LMF19" s="85"/>
      <c r="LMG19" s="85"/>
      <c r="LMH19" s="85"/>
      <c r="LMI19" s="85"/>
      <c r="LMJ19" s="85"/>
      <c r="LMK19" s="85"/>
      <c r="LML19" s="85"/>
      <c r="LMM19" s="85"/>
      <c r="LMN19" s="85"/>
      <c r="LMO19" s="85"/>
      <c r="LMP19" s="85"/>
      <c r="LMQ19" s="85"/>
      <c r="LMR19" s="85"/>
      <c r="LMS19" s="85"/>
      <c r="LMT19" s="85"/>
      <c r="LMU19" s="85"/>
      <c r="LMV19" s="85"/>
      <c r="LMW19" s="85"/>
      <c r="LMX19" s="85"/>
      <c r="LMY19" s="85"/>
      <c r="LMZ19" s="85"/>
      <c r="LNA19" s="85"/>
      <c r="LNB19" s="85"/>
      <c r="LNC19" s="85"/>
      <c r="LND19" s="85"/>
      <c r="LNE19" s="85"/>
      <c r="LNF19" s="85"/>
      <c r="LNG19" s="85"/>
      <c r="LNH19" s="85"/>
      <c r="LNI19" s="85"/>
      <c r="LNJ19" s="85"/>
      <c r="LNK19" s="85"/>
      <c r="LNL19" s="85"/>
      <c r="LNM19" s="85"/>
      <c r="LNN19" s="85"/>
      <c r="LNO19" s="85"/>
      <c r="LNP19" s="85"/>
      <c r="LNQ19" s="85"/>
      <c r="LNR19" s="85"/>
      <c r="LNS19" s="85"/>
      <c r="LNT19" s="85"/>
      <c r="LNU19" s="85"/>
      <c r="LNV19" s="85"/>
      <c r="LNW19" s="85"/>
      <c r="LNX19" s="85"/>
      <c r="LNY19" s="85"/>
      <c r="LNZ19" s="85"/>
      <c r="LOA19" s="85"/>
      <c r="LOB19" s="85"/>
      <c r="LOC19" s="85"/>
      <c r="LOD19" s="85"/>
      <c r="LOE19" s="85"/>
      <c r="LOF19" s="85"/>
      <c r="LOG19" s="85"/>
      <c r="LOH19" s="85"/>
      <c r="LOI19" s="85"/>
      <c r="LOJ19" s="85"/>
      <c r="LOK19" s="85"/>
      <c r="LOL19" s="85"/>
      <c r="LOM19" s="85"/>
      <c r="LON19" s="85"/>
      <c r="LOO19" s="85"/>
      <c r="LOP19" s="85"/>
      <c r="LOQ19" s="85"/>
      <c r="LOR19" s="85"/>
      <c r="LOS19" s="85"/>
      <c r="LOT19" s="85"/>
      <c r="LOU19" s="85"/>
      <c r="LOV19" s="85"/>
      <c r="LOW19" s="85"/>
      <c r="LOX19" s="85"/>
      <c r="LOY19" s="85"/>
      <c r="LOZ19" s="85"/>
      <c r="LPA19" s="85"/>
      <c r="LPB19" s="85"/>
      <c r="LPC19" s="85"/>
      <c r="LPD19" s="85"/>
      <c r="LPE19" s="85"/>
      <c r="LPF19" s="85"/>
      <c r="LPG19" s="85"/>
      <c r="LPH19" s="85"/>
      <c r="LPI19" s="85"/>
      <c r="LPJ19" s="85"/>
      <c r="LPK19" s="85"/>
      <c r="LPL19" s="85"/>
      <c r="LPM19" s="85"/>
      <c r="LPN19" s="85"/>
      <c r="LPO19" s="85"/>
      <c r="LPP19" s="85"/>
      <c r="LPQ19" s="85"/>
      <c r="LPR19" s="85"/>
      <c r="LPS19" s="85"/>
      <c r="LPT19" s="85"/>
      <c r="LPU19" s="85"/>
      <c r="LPV19" s="85"/>
      <c r="LPW19" s="85"/>
      <c r="LPX19" s="85"/>
      <c r="LPY19" s="85"/>
      <c r="LPZ19" s="85"/>
      <c r="LQA19" s="85"/>
      <c r="LQB19" s="85"/>
      <c r="LQC19" s="85"/>
      <c r="LQD19" s="85"/>
      <c r="LQE19" s="85"/>
      <c r="LQF19" s="85"/>
      <c r="LQG19" s="85"/>
      <c r="LQH19" s="85"/>
      <c r="LQI19" s="85"/>
      <c r="LQJ19" s="85"/>
      <c r="LQK19" s="85"/>
      <c r="LQL19" s="85"/>
      <c r="LQM19" s="85"/>
      <c r="LQN19" s="85"/>
      <c r="LQO19" s="85"/>
      <c r="LQP19" s="85"/>
      <c r="LQQ19" s="85"/>
      <c r="LQR19" s="85"/>
      <c r="LQS19" s="85"/>
      <c r="LQT19" s="85"/>
      <c r="LQU19" s="85"/>
      <c r="LQV19" s="85"/>
      <c r="LQW19" s="85"/>
      <c r="LQX19" s="85"/>
      <c r="LQY19" s="85"/>
      <c r="LQZ19" s="85"/>
      <c r="LRA19" s="85"/>
      <c r="LRB19" s="85"/>
      <c r="LRC19" s="85"/>
      <c r="LRD19" s="85"/>
      <c r="LRE19" s="85"/>
      <c r="LRF19" s="85"/>
      <c r="LRG19" s="85"/>
      <c r="LRH19" s="85"/>
      <c r="LRI19" s="85"/>
      <c r="LRJ19" s="85"/>
      <c r="LRK19" s="85"/>
      <c r="LRL19" s="85"/>
      <c r="LRM19" s="85"/>
      <c r="LRN19" s="85"/>
      <c r="LRO19" s="85"/>
      <c r="LRP19" s="85"/>
      <c r="LRQ19" s="85"/>
      <c r="LRR19" s="85"/>
      <c r="LRS19" s="85"/>
      <c r="LRT19" s="85"/>
      <c r="LRU19" s="85"/>
      <c r="LRV19" s="85"/>
      <c r="LRW19" s="85"/>
      <c r="LRX19" s="85"/>
      <c r="LRY19" s="85"/>
      <c r="LRZ19" s="85"/>
      <c r="LSA19" s="85"/>
      <c r="LSB19" s="85"/>
      <c r="LSC19" s="85"/>
      <c r="LSD19" s="85"/>
      <c r="LSE19" s="85"/>
      <c r="LSF19" s="85"/>
      <c r="LSG19" s="85"/>
      <c r="LSH19" s="85"/>
      <c r="LSI19" s="85"/>
      <c r="LSJ19" s="85"/>
      <c r="LSK19" s="85"/>
      <c r="LSL19" s="85"/>
      <c r="LSM19" s="85"/>
      <c r="LSN19" s="85"/>
      <c r="LSO19" s="85"/>
      <c r="LSP19" s="85"/>
      <c r="LSQ19" s="85"/>
      <c r="LSR19" s="85"/>
      <c r="LSS19" s="85"/>
      <c r="LST19" s="85"/>
      <c r="LSU19" s="85"/>
      <c r="LSV19" s="85"/>
      <c r="LSW19" s="85"/>
      <c r="LSX19" s="85"/>
      <c r="LSY19" s="85"/>
      <c r="LSZ19" s="85"/>
      <c r="LTA19" s="85"/>
      <c r="LTB19" s="85"/>
      <c r="LTC19" s="85"/>
      <c r="LTD19" s="85"/>
      <c r="LTE19" s="85"/>
      <c r="LTF19" s="85"/>
      <c r="LTG19" s="85"/>
      <c r="LTH19" s="85"/>
      <c r="LTI19" s="85"/>
      <c r="LTJ19" s="85"/>
      <c r="LTK19" s="85"/>
      <c r="LTL19" s="85"/>
      <c r="LTM19" s="85"/>
      <c r="LTN19" s="85"/>
      <c r="LTO19" s="85"/>
      <c r="LTP19" s="85"/>
      <c r="LTQ19" s="85"/>
      <c r="LTR19" s="85"/>
      <c r="LTS19" s="85"/>
      <c r="LTT19" s="85"/>
      <c r="LTU19" s="85"/>
      <c r="LTV19" s="85"/>
      <c r="LTW19" s="85"/>
      <c r="LTX19" s="85"/>
      <c r="LTY19" s="85"/>
      <c r="LTZ19" s="85"/>
      <c r="LUA19" s="85"/>
      <c r="LUB19" s="85"/>
      <c r="LUC19" s="85"/>
      <c r="LUD19" s="85"/>
      <c r="LUE19" s="85"/>
      <c r="LUF19" s="85"/>
      <c r="LUG19" s="85"/>
      <c r="LUH19" s="85"/>
      <c r="LUI19" s="85"/>
      <c r="LUJ19" s="85"/>
      <c r="LUK19" s="85"/>
      <c r="LUL19" s="85"/>
      <c r="LUM19" s="85"/>
      <c r="LUN19" s="85"/>
      <c r="LUO19" s="85"/>
      <c r="LUP19" s="85"/>
      <c r="LUQ19" s="85"/>
      <c r="LUR19" s="85"/>
      <c r="LUS19" s="85"/>
      <c r="LUT19" s="85"/>
      <c r="LUU19" s="85"/>
      <c r="LUV19" s="85"/>
      <c r="LUW19" s="85"/>
      <c r="LUX19" s="85"/>
      <c r="LUY19" s="85"/>
      <c r="LUZ19" s="85"/>
      <c r="LVA19" s="85"/>
      <c r="LVB19" s="85"/>
      <c r="LVC19" s="85"/>
      <c r="LVD19" s="85"/>
      <c r="LVE19" s="85"/>
      <c r="LVF19" s="85"/>
      <c r="LVG19" s="85"/>
      <c r="LVH19" s="85"/>
      <c r="LVI19" s="85"/>
      <c r="LVJ19" s="85"/>
      <c r="LVK19" s="85"/>
      <c r="LVL19" s="85"/>
      <c r="LVM19" s="85"/>
      <c r="LVN19" s="85"/>
      <c r="LVO19" s="85"/>
      <c r="LVP19" s="85"/>
      <c r="LVQ19" s="85"/>
      <c r="LVR19" s="85"/>
      <c r="LVS19" s="85"/>
      <c r="LVT19" s="85"/>
      <c r="LVU19" s="85"/>
      <c r="LVV19" s="85"/>
      <c r="LVW19" s="85"/>
      <c r="LVX19" s="85"/>
      <c r="LVY19" s="85"/>
      <c r="LVZ19" s="85"/>
      <c r="LWA19" s="85"/>
      <c r="LWB19" s="85"/>
      <c r="LWC19" s="85"/>
      <c r="LWD19" s="85"/>
      <c r="LWE19" s="85"/>
      <c r="LWF19" s="85"/>
      <c r="LWG19" s="85"/>
      <c r="LWH19" s="85"/>
      <c r="LWI19" s="85"/>
      <c r="LWJ19" s="85"/>
      <c r="LWK19" s="85"/>
      <c r="LWL19" s="85"/>
      <c r="LWM19" s="85"/>
      <c r="LWN19" s="85"/>
      <c r="LWO19" s="85"/>
      <c r="LWP19" s="85"/>
      <c r="LWQ19" s="85"/>
      <c r="LWR19" s="85"/>
      <c r="LWS19" s="85"/>
      <c r="LWT19" s="85"/>
      <c r="LWU19" s="85"/>
      <c r="LWV19" s="85"/>
      <c r="LWW19" s="85"/>
      <c r="LWX19" s="85"/>
      <c r="LWY19" s="85"/>
      <c r="LWZ19" s="85"/>
      <c r="LXA19" s="85"/>
      <c r="LXB19" s="85"/>
      <c r="LXC19" s="85"/>
      <c r="LXD19" s="85"/>
      <c r="LXE19" s="85"/>
      <c r="LXF19" s="85"/>
      <c r="LXG19" s="85"/>
      <c r="LXH19" s="85"/>
      <c r="LXI19" s="85"/>
      <c r="LXJ19" s="85"/>
      <c r="LXK19" s="85"/>
      <c r="LXL19" s="85"/>
      <c r="LXM19" s="85"/>
      <c r="LXN19" s="85"/>
      <c r="LXO19" s="85"/>
      <c r="LXP19" s="85"/>
      <c r="LXQ19" s="85"/>
      <c r="LXR19" s="85"/>
      <c r="LXS19" s="85"/>
      <c r="LXT19" s="85"/>
      <c r="LXU19" s="85"/>
      <c r="LXV19" s="85"/>
      <c r="LXW19" s="85"/>
      <c r="LXX19" s="85"/>
      <c r="LXY19" s="85"/>
      <c r="LXZ19" s="85"/>
      <c r="LYA19" s="85"/>
      <c r="LYB19" s="85"/>
      <c r="LYC19" s="85"/>
      <c r="LYD19" s="85"/>
      <c r="LYE19" s="85"/>
      <c r="LYF19" s="85"/>
      <c r="LYG19" s="85"/>
      <c r="LYH19" s="85"/>
      <c r="LYI19" s="85"/>
      <c r="LYJ19" s="85"/>
      <c r="LYK19" s="85"/>
      <c r="LYL19" s="85"/>
      <c r="LYM19" s="85"/>
      <c r="LYN19" s="85"/>
      <c r="LYO19" s="85"/>
      <c r="LYP19" s="85"/>
      <c r="LYQ19" s="85"/>
      <c r="LYR19" s="85"/>
      <c r="LYS19" s="85"/>
      <c r="LYT19" s="85"/>
      <c r="LYU19" s="85"/>
      <c r="LYV19" s="85"/>
      <c r="LYW19" s="85"/>
      <c r="LYX19" s="85"/>
      <c r="LYY19" s="85"/>
      <c r="LYZ19" s="85"/>
      <c r="LZA19" s="85"/>
      <c r="LZB19" s="85"/>
      <c r="LZC19" s="85"/>
      <c r="LZD19" s="85"/>
      <c r="LZE19" s="85"/>
      <c r="LZF19" s="85"/>
      <c r="LZG19" s="85"/>
      <c r="LZH19" s="85"/>
      <c r="LZI19" s="85"/>
      <c r="LZJ19" s="85"/>
      <c r="LZK19" s="85"/>
      <c r="LZL19" s="85"/>
      <c r="LZM19" s="85"/>
      <c r="LZN19" s="85"/>
      <c r="LZO19" s="85"/>
      <c r="LZP19" s="85"/>
      <c r="LZQ19" s="85"/>
      <c r="LZR19" s="85"/>
      <c r="LZS19" s="85"/>
      <c r="LZT19" s="85"/>
      <c r="LZU19" s="85"/>
      <c r="LZV19" s="85"/>
      <c r="LZW19" s="85"/>
      <c r="LZX19" s="85"/>
      <c r="LZY19" s="85"/>
      <c r="LZZ19" s="85"/>
      <c r="MAA19" s="85"/>
      <c r="MAB19" s="85"/>
      <c r="MAC19" s="85"/>
      <c r="MAD19" s="85"/>
      <c r="MAE19" s="85"/>
      <c r="MAF19" s="85"/>
      <c r="MAG19" s="85"/>
      <c r="MAH19" s="85"/>
      <c r="MAI19" s="85"/>
      <c r="MAJ19" s="85"/>
      <c r="MAK19" s="85"/>
      <c r="MAL19" s="85"/>
      <c r="MAM19" s="85"/>
      <c r="MAN19" s="85"/>
      <c r="MAO19" s="85"/>
      <c r="MAP19" s="85"/>
      <c r="MAQ19" s="85"/>
      <c r="MAR19" s="85"/>
      <c r="MAS19" s="85"/>
      <c r="MAT19" s="85"/>
      <c r="MAU19" s="85"/>
      <c r="MAV19" s="85"/>
      <c r="MAW19" s="85"/>
      <c r="MAX19" s="85"/>
      <c r="MAY19" s="85"/>
      <c r="MAZ19" s="85"/>
      <c r="MBA19" s="85"/>
      <c r="MBB19" s="85"/>
      <c r="MBC19" s="85"/>
      <c r="MBD19" s="85"/>
      <c r="MBE19" s="85"/>
      <c r="MBF19" s="85"/>
      <c r="MBG19" s="85"/>
      <c r="MBH19" s="85"/>
      <c r="MBI19" s="85"/>
      <c r="MBJ19" s="85"/>
      <c r="MBK19" s="85"/>
      <c r="MBL19" s="85"/>
      <c r="MBM19" s="85"/>
      <c r="MBN19" s="85"/>
      <c r="MBO19" s="85"/>
      <c r="MBP19" s="85"/>
      <c r="MBQ19" s="85"/>
      <c r="MBR19" s="85"/>
      <c r="MBS19" s="85"/>
      <c r="MBT19" s="85"/>
      <c r="MBU19" s="85"/>
      <c r="MBV19" s="85"/>
      <c r="MBW19" s="85"/>
      <c r="MBX19" s="85"/>
      <c r="MBY19" s="85"/>
      <c r="MBZ19" s="85"/>
      <c r="MCA19" s="85"/>
      <c r="MCB19" s="85"/>
      <c r="MCC19" s="85"/>
      <c r="MCD19" s="85"/>
      <c r="MCE19" s="85"/>
      <c r="MCF19" s="85"/>
      <c r="MCG19" s="85"/>
      <c r="MCH19" s="85"/>
      <c r="MCI19" s="85"/>
      <c r="MCJ19" s="85"/>
      <c r="MCK19" s="85"/>
      <c r="MCL19" s="85"/>
      <c r="MCM19" s="85"/>
      <c r="MCN19" s="85"/>
      <c r="MCO19" s="85"/>
      <c r="MCP19" s="85"/>
      <c r="MCQ19" s="85"/>
      <c r="MCR19" s="85"/>
      <c r="MCS19" s="85"/>
      <c r="MCT19" s="85"/>
      <c r="MCU19" s="85"/>
      <c r="MCV19" s="85"/>
      <c r="MCW19" s="85"/>
      <c r="MCX19" s="85"/>
      <c r="MCY19" s="85"/>
      <c r="MCZ19" s="85"/>
      <c r="MDA19" s="85"/>
      <c r="MDB19" s="85"/>
      <c r="MDC19" s="85"/>
      <c r="MDD19" s="85"/>
      <c r="MDE19" s="85"/>
      <c r="MDF19" s="85"/>
      <c r="MDG19" s="85"/>
      <c r="MDH19" s="85"/>
      <c r="MDI19" s="85"/>
      <c r="MDJ19" s="85"/>
      <c r="MDK19" s="85"/>
      <c r="MDL19" s="85"/>
      <c r="MDM19" s="85"/>
      <c r="MDN19" s="85"/>
      <c r="MDO19" s="85"/>
      <c r="MDP19" s="85"/>
      <c r="MDQ19" s="85"/>
      <c r="MDR19" s="85"/>
      <c r="MDS19" s="85"/>
      <c r="MDT19" s="85"/>
      <c r="MDU19" s="85"/>
      <c r="MDV19" s="85"/>
      <c r="MDW19" s="85"/>
      <c r="MDX19" s="85"/>
      <c r="MDY19" s="85"/>
      <c r="MDZ19" s="85"/>
      <c r="MEA19" s="85"/>
      <c r="MEB19" s="85"/>
      <c r="MEC19" s="85"/>
      <c r="MED19" s="85"/>
      <c r="MEE19" s="85"/>
      <c r="MEF19" s="85"/>
      <c r="MEG19" s="85"/>
      <c r="MEH19" s="85"/>
      <c r="MEI19" s="85"/>
      <c r="MEJ19" s="85"/>
      <c r="MEK19" s="85"/>
      <c r="MEL19" s="85"/>
      <c r="MEM19" s="85"/>
      <c r="MEN19" s="85"/>
      <c r="MEO19" s="85"/>
      <c r="MEP19" s="85"/>
      <c r="MEQ19" s="85"/>
      <c r="MER19" s="85"/>
      <c r="MES19" s="85"/>
      <c r="MET19" s="85"/>
      <c r="MEU19" s="85"/>
      <c r="MEV19" s="85"/>
      <c r="MEW19" s="85"/>
      <c r="MEX19" s="85"/>
      <c r="MEY19" s="85"/>
      <c r="MEZ19" s="85"/>
      <c r="MFA19" s="85"/>
      <c r="MFB19" s="85"/>
      <c r="MFC19" s="85"/>
      <c r="MFD19" s="85"/>
      <c r="MFE19" s="85"/>
      <c r="MFF19" s="85"/>
      <c r="MFG19" s="85"/>
      <c r="MFH19" s="85"/>
      <c r="MFI19" s="85"/>
      <c r="MFJ19" s="85"/>
      <c r="MFK19" s="85"/>
      <c r="MFL19" s="85"/>
      <c r="MFM19" s="85"/>
      <c r="MFN19" s="85"/>
      <c r="MFO19" s="85"/>
      <c r="MFP19" s="85"/>
      <c r="MFQ19" s="85"/>
      <c r="MFR19" s="85"/>
      <c r="MFS19" s="85"/>
      <c r="MFT19" s="85"/>
      <c r="MFU19" s="85"/>
      <c r="MFV19" s="85"/>
      <c r="MFW19" s="85"/>
      <c r="MFX19" s="85"/>
      <c r="MFY19" s="85"/>
      <c r="MFZ19" s="85"/>
      <c r="MGA19" s="85"/>
      <c r="MGB19" s="85"/>
      <c r="MGC19" s="85"/>
      <c r="MGD19" s="85"/>
      <c r="MGE19" s="85"/>
      <c r="MGF19" s="85"/>
      <c r="MGG19" s="85"/>
      <c r="MGH19" s="85"/>
      <c r="MGI19" s="85"/>
      <c r="MGJ19" s="85"/>
      <c r="MGK19" s="85"/>
      <c r="MGL19" s="85"/>
      <c r="MGM19" s="85"/>
      <c r="MGN19" s="85"/>
      <c r="MGO19" s="85"/>
      <c r="MGP19" s="85"/>
      <c r="MGQ19" s="85"/>
      <c r="MGR19" s="85"/>
      <c r="MGS19" s="85"/>
      <c r="MGT19" s="85"/>
      <c r="MGU19" s="85"/>
      <c r="MGV19" s="85"/>
      <c r="MGW19" s="85"/>
      <c r="MGX19" s="85"/>
      <c r="MGY19" s="85"/>
      <c r="MGZ19" s="85"/>
      <c r="MHA19" s="85"/>
      <c r="MHB19" s="85"/>
      <c r="MHC19" s="85"/>
      <c r="MHD19" s="85"/>
      <c r="MHE19" s="85"/>
      <c r="MHF19" s="85"/>
      <c r="MHG19" s="85"/>
      <c r="MHH19" s="85"/>
      <c r="MHI19" s="85"/>
      <c r="MHJ19" s="85"/>
      <c r="MHK19" s="85"/>
      <c r="MHL19" s="85"/>
      <c r="MHM19" s="85"/>
      <c r="MHN19" s="85"/>
      <c r="MHO19" s="85"/>
      <c r="MHP19" s="85"/>
      <c r="MHQ19" s="85"/>
      <c r="MHR19" s="85"/>
      <c r="MHS19" s="85"/>
      <c r="MHT19" s="85"/>
      <c r="MHU19" s="85"/>
      <c r="MHV19" s="85"/>
      <c r="MHW19" s="85"/>
      <c r="MHX19" s="85"/>
      <c r="MHY19" s="85"/>
      <c r="MHZ19" s="85"/>
      <c r="MIA19" s="85"/>
      <c r="MIB19" s="85"/>
      <c r="MIC19" s="85"/>
      <c r="MID19" s="85"/>
      <c r="MIE19" s="85"/>
      <c r="MIF19" s="85"/>
      <c r="MIG19" s="85"/>
      <c r="MIH19" s="85"/>
      <c r="MII19" s="85"/>
      <c r="MIJ19" s="85"/>
      <c r="MIK19" s="85"/>
      <c r="MIL19" s="85"/>
      <c r="MIM19" s="85"/>
      <c r="MIN19" s="85"/>
      <c r="MIO19" s="85"/>
      <c r="MIP19" s="85"/>
      <c r="MIQ19" s="85"/>
      <c r="MIR19" s="85"/>
      <c r="MIS19" s="85"/>
      <c r="MIT19" s="85"/>
      <c r="MIU19" s="85"/>
      <c r="MIV19" s="85"/>
      <c r="MIW19" s="85"/>
      <c r="MIX19" s="85"/>
      <c r="MIY19" s="85"/>
      <c r="MIZ19" s="85"/>
      <c r="MJA19" s="85"/>
      <c r="MJB19" s="85"/>
      <c r="MJC19" s="85"/>
      <c r="MJD19" s="85"/>
      <c r="MJE19" s="85"/>
      <c r="MJF19" s="85"/>
      <c r="MJG19" s="85"/>
      <c r="MJH19" s="85"/>
      <c r="MJI19" s="85"/>
      <c r="MJJ19" s="85"/>
      <c r="MJK19" s="85"/>
      <c r="MJL19" s="85"/>
      <c r="MJM19" s="85"/>
      <c r="MJN19" s="85"/>
      <c r="MJO19" s="85"/>
      <c r="MJP19" s="85"/>
      <c r="MJQ19" s="85"/>
      <c r="MJR19" s="85"/>
      <c r="MJS19" s="85"/>
      <c r="MJT19" s="85"/>
      <c r="MJU19" s="85"/>
      <c r="MJV19" s="85"/>
      <c r="MJW19" s="85"/>
      <c r="MJX19" s="85"/>
      <c r="MJY19" s="85"/>
      <c r="MJZ19" s="85"/>
      <c r="MKA19" s="85"/>
      <c r="MKB19" s="85"/>
      <c r="MKC19" s="85"/>
      <c r="MKD19" s="85"/>
      <c r="MKE19" s="85"/>
      <c r="MKF19" s="85"/>
      <c r="MKG19" s="85"/>
      <c r="MKH19" s="85"/>
      <c r="MKI19" s="85"/>
      <c r="MKJ19" s="85"/>
      <c r="MKK19" s="85"/>
      <c r="MKL19" s="85"/>
      <c r="MKM19" s="85"/>
      <c r="MKN19" s="85"/>
      <c r="MKO19" s="85"/>
      <c r="MKP19" s="85"/>
      <c r="MKQ19" s="85"/>
      <c r="MKR19" s="85"/>
      <c r="MKS19" s="85"/>
      <c r="MKT19" s="85"/>
      <c r="MKU19" s="85"/>
      <c r="MKV19" s="85"/>
      <c r="MKW19" s="85"/>
      <c r="MKX19" s="85"/>
      <c r="MKY19" s="85"/>
      <c r="MKZ19" s="85"/>
      <c r="MLA19" s="85"/>
      <c r="MLB19" s="85"/>
      <c r="MLC19" s="85"/>
      <c r="MLD19" s="85"/>
      <c r="MLE19" s="85"/>
      <c r="MLF19" s="85"/>
      <c r="MLG19" s="85"/>
      <c r="MLH19" s="85"/>
      <c r="MLI19" s="85"/>
      <c r="MLJ19" s="85"/>
      <c r="MLK19" s="85"/>
      <c r="MLL19" s="85"/>
      <c r="MLM19" s="85"/>
      <c r="MLN19" s="85"/>
      <c r="MLO19" s="85"/>
      <c r="MLP19" s="85"/>
      <c r="MLQ19" s="85"/>
      <c r="MLR19" s="85"/>
      <c r="MLS19" s="85"/>
      <c r="MLT19" s="85"/>
      <c r="MLU19" s="85"/>
      <c r="MLV19" s="85"/>
      <c r="MLW19" s="85"/>
      <c r="MLX19" s="85"/>
      <c r="MLY19" s="85"/>
      <c r="MLZ19" s="85"/>
      <c r="MMA19" s="85"/>
      <c r="MMB19" s="85"/>
      <c r="MMC19" s="85"/>
      <c r="MMD19" s="85"/>
      <c r="MME19" s="85"/>
      <c r="MMF19" s="85"/>
      <c r="MMG19" s="85"/>
      <c r="MMH19" s="85"/>
      <c r="MMI19" s="85"/>
      <c r="MMJ19" s="85"/>
      <c r="MMK19" s="85"/>
      <c r="MML19" s="85"/>
      <c r="MMM19" s="85"/>
      <c r="MMN19" s="85"/>
      <c r="MMO19" s="85"/>
      <c r="MMP19" s="85"/>
      <c r="MMQ19" s="85"/>
      <c r="MMR19" s="85"/>
      <c r="MMS19" s="85"/>
      <c r="MMT19" s="85"/>
      <c r="MMU19" s="85"/>
      <c r="MMV19" s="85"/>
      <c r="MMW19" s="85"/>
      <c r="MMX19" s="85"/>
      <c r="MMY19" s="85"/>
      <c r="MMZ19" s="85"/>
      <c r="MNA19" s="85"/>
      <c r="MNB19" s="85"/>
      <c r="MNC19" s="85"/>
      <c r="MND19" s="85"/>
      <c r="MNE19" s="85"/>
      <c r="MNF19" s="85"/>
      <c r="MNG19" s="85"/>
      <c r="MNH19" s="85"/>
      <c r="MNI19" s="85"/>
      <c r="MNJ19" s="85"/>
      <c r="MNK19" s="85"/>
      <c r="MNL19" s="85"/>
      <c r="MNM19" s="85"/>
      <c r="MNN19" s="85"/>
      <c r="MNO19" s="85"/>
      <c r="MNP19" s="85"/>
      <c r="MNQ19" s="85"/>
      <c r="MNR19" s="85"/>
      <c r="MNS19" s="85"/>
      <c r="MNT19" s="85"/>
      <c r="MNU19" s="85"/>
      <c r="MNV19" s="85"/>
      <c r="MNW19" s="85"/>
      <c r="MNX19" s="85"/>
      <c r="MNY19" s="85"/>
      <c r="MNZ19" s="85"/>
      <c r="MOA19" s="85"/>
      <c r="MOB19" s="85"/>
      <c r="MOC19" s="85"/>
      <c r="MOD19" s="85"/>
      <c r="MOE19" s="85"/>
      <c r="MOF19" s="85"/>
      <c r="MOG19" s="85"/>
      <c r="MOH19" s="85"/>
      <c r="MOI19" s="85"/>
      <c r="MOJ19" s="85"/>
      <c r="MOK19" s="85"/>
      <c r="MOL19" s="85"/>
      <c r="MOM19" s="85"/>
      <c r="MON19" s="85"/>
      <c r="MOO19" s="85"/>
      <c r="MOP19" s="85"/>
      <c r="MOQ19" s="85"/>
      <c r="MOR19" s="85"/>
      <c r="MOS19" s="85"/>
      <c r="MOT19" s="85"/>
      <c r="MOU19" s="85"/>
      <c r="MOV19" s="85"/>
      <c r="MOW19" s="85"/>
      <c r="MOX19" s="85"/>
      <c r="MOY19" s="85"/>
      <c r="MOZ19" s="85"/>
      <c r="MPA19" s="85"/>
      <c r="MPB19" s="85"/>
      <c r="MPC19" s="85"/>
      <c r="MPD19" s="85"/>
      <c r="MPE19" s="85"/>
      <c r="MPF19" s="85"/>
      <c r="MPG19" s="85"/>
      <c r="MPH19" s="85"/>
      <c r="MPI19" s="85"/>
      <c r="MPJ19" s="85"/>
      <c r="MPK19" s="85"/>
      <c r="MPL19" s="85"/>
      <c r="MPM19" s="85"/>
      <c r="MPN19" s="85"/>
      <c r="MPO19" s="85"/>
      <c r="MPP19" s="85"/>
      <c r="MPQ19" s="85"/>
      <c r="MPR19" s="85"/>
      <c r="MPS19" s="85"/>
      <c r="MPT19" s="85"/>
      <c r="MPU19" s="85"/>
      <c r="MPV19" s="85"/>
      <c r="MPW19" s="85"/>
      <c r="MPX19" s="85"/>
      <c r="MPY19" s="85"/>
      <c r="MPZ19" s="85"/>
      <c r="MQA19" s="85"/>
      <c r="MQB19" s="85"/>
      <c r="MQC19" s="85"/>
      <c r="MQD19" s="85"/>
      <c r="MQE19" s="85"/>
      <c r="MQF19" s="85"/>
      <c r="MQG19" s="85"/>
      <c r="MQH19" s="85"/>
      <c r="MQI19" s="85"/>
      <c r="MQJ19" s="85"/>
      <c r="MQK19" s="85"/>
      <c r="MQL19" s="85"/>
      <c r="MQM19" s="85"/>
      <c r="MQN19" s="85"/>
      <c r="MQO19" s="85"/>
      <c r="MQP19" s="85"/>
      <c r="MQQ19" s="85"/>
      <c r="MQR19" s="85"/>
      <c r="MQS19" s="85"/>
      <c r="MQT19" s="85"/>
      <c r="MQU19" s="85"/>
      <c r="MQV19" s="85"/>
      <c r="MQW19" s="85"/>
      <c r="MQX19" s="85"/>
      <c r="MQY19" s="85"/>
      <c r="MQZ19" s="85"/>
      <c r="MRA19" s="85"/>
      <c r="MRB19" s="85"/>
      <c r="MRC19" s="85"/>
      <c r="MRD19" s="85"/>
      <c r="MRE19" s="85"/>
      <c r="MRF19" s="85"/>
      <c r="MRG19" s="85"/>
      <c r="MRH19" s="85"/>
      <c r="MRI19" s="85"/>
      <c r="MRJ19" s="85"/>
      <c r="MRK19" s="85"/>
      <c r="MRL19" s="85"/>
      <c r="MRM19" s="85"/>
      <c r="MRN19" s="85"/>
      <c r="MRO19" s="85"/>
      <c r="MRP19" s="85"/>
      <c r="MRQ19" s="85"/>
      <c r="MRR19" s="85"/>
      <c r="MRS19" s="85"/>
      <c r="MRT19" s="85"/>
      <c r="MRU19" s="85"/>
      <c r="MRV19" s="85"/>
      <c r="MRW19" s="85"/>
      <c r="MRX19" s="85"/>
      <c r="MRY19" s="85"/>
      <c r="MRZ19" s="85"/>
      <c r="MSA19" s="85"/>
      <c r="MSB19" s="85"/>
      <c r="MSC19" s="85"/>
      <c r="MSD19" s="85"/>
      <c r="MSE19" s="85"/>
      <c r="MSF19" s="85"/>
      <c r="MSG19" s="85"/>
      <c r="MSH19" s="85"/>
      <c r="MSI19" s="85"/>
      <c r="MSJ19" s="85"/>
      <c r="MSK19" s="85"/>
      <c r="MSL19" s="85"/>
      <c r="MSM19" s="85"/>
      <c r="MSN19" s="85"/>
      <c r="MSO19" s="85"/>
      <c r="MSP19" s="85"/>
      <c r="MSQ19" s="85"/>
      <c r="MSR19" s="85"/>
      <c r="MSS19" s="85"/>
      <c r="MST19" s="85"/>
      <c r="MSU19" s="85"/>
      <c r="MSV19" s="85"/>
      <c r="MSW19" s="85"/>
      <c r="MSX19" s="85"/>
      <c r="MSY19" s="85"/>
      <c r="MSZ19" s="85"/>
      <c r="MTA19" s="85"/>
      <c r="MTB19" s="85"/>
      <c r="MTC19" s="85"/>
      <c r="MTD19" s="85"/>
      <c r="MTE19" s="85"/>
      <c r="MTF19" s="85"/>
      <c r="MTG19" s="85"/>
      <c r="MTH19" s="85"/>
      <c r="MTI19" s="85"/>
      <c r="MTJ19" s="85"/>
      <c r="MTK19" s="85"/>
      <c r="MTL19" s="85"/>
      <c r="MTM19" s="85"/>
      <c r="MTN19" s="85"/>
      <c r="MTO19" s="85"/>
      <c r="MTP19" s="85"/>
      <c r="MTQ19" s="85"/>
      <c r="MTR19" s="85"/>
      <c r="MTS19" s="85"/>
      <c r="MTT19" s="85"/>
      <c r="MTU19" s="85"/>
      <c r="MTV19" s="85"/>
      <c r="MTW19" s="85"/>
      <c r="MTX19" s="85"/>
      <c r="MTY19" s="85"/>
      <c r="MTZ19" s="85"/>
      <c r="MUA19" s="85"/>
      <c r="MUB19" s="85"/>
      <c r="MUC19" s="85"/>
      <c r="MUD19" s="85"/>
      <c r="MUE19" s="85"/>
      <c r="MUF19" s="85"/>
      <c r="MUG19" s="85"/>
      <c r="MUH19" s="85"/>
      <c r="MUI19" s="85"/>
      <c r="MUJ19" s="85"/>
      <c r="MUK19" s="85"/>
      <c r="MUL19" s="85"/>
      <c r="MUM19" s="85"/>
      <c r="MUN19" s="85"/>
      <c r="MUO19" s="85"/>
      <c r="MUP19" s="85"/>
      <c r="MUQ19" s="85"/>
      <c r="MUR19" s="85"/>
      <c r="MUS19" s="85"/>
      <c r="MUT19" s="85"/>
      <c r="MUU19" s="85"/>
      <c r="MUV19" s="85"/>
      <c r="MUW19" s="85"/>
      <c r="MUX19" s="85"/>
      <c r="MUY19" s="85"/>
      <c r="MUZ19" s="85"/>
      <c r="MVA19" s="85"/>
      <c r="MVB19" s="85"/>
      <c r="MVC19" s="85"/>
      <c r="MVD19" s="85"/>
      <c r="MVE19" s="85"/>
      <c r="MVF19" s="85"/>
      <c r="MVG19" s="85"/>
      <c r="MVH19" s="85"/>
      <c r="MVI19" s="85"/>
      <c r="MVJ19" s="85"/>
      <c r="MVK19" s="85"/>
      <c r="MVL19" s="85"/>
      <c r="MVM19" s="85"/>
      <c r="MVN19" s="85"/>
      <c r="MVO19" s="85"/>
      <c r="MVP19" s="85"/>
      <c r="MVQ19" s="85"/>
      <c r="MVR19" s="85"/>
      <c r="MVS19" s="85"/>
      <c r="MVT19" s="85"/>
      <c r="MVU19" s="85"/>
      <c r="MVV19" s="85"/>
      <c r="MVW19" s="85"/>
      <c r="MVX19" s="85"/>
      <c r="MVY19" s="85"/>
      <c r="MVZ19" s="85"/>
      <c r="MWA19" s="85"/>
      <c r="MWB19" s="85"/>
      <c r="MWC19" s="85"/>
      <c r="MWD19" s="85"/>
      <c r="MWE19" s="85"/>
      <c r="MWF19" s="85"/>
      <c r="MWG19" s="85"/>
      <c r="MWH19" s="85"/>
      <c r="MWI19" s="85"/>
      <c r="MWJ19" s="85"/>
      <c r="MWK19" s="85"/>
      <c r="MWL19" s="85"/>
      <c r="MWM19" s="85"/>
      <c r="MWN19" s="85"/>
      <c r="MWO19" s="85"/>
      <c r="MWP19" s="85"/>
      <c r="MWQ19" s="85"/>
      <c r="MWR19" s="85"/>
      <c r="MWS19" s="85"/>
      <c r="MWT19" s="85"/>
      <c r="MWU19" s="85"/>
      <c r="MWV19" s="85"/>
      <c r="MWW19" s="85"/>
      <c r="MWX19" s="85"/>
      <c r="MWY19" s="85"/>
      <c r="MWZ19" s="85"/>
      <c r="MXA19" s="85"/>
      <c r="MXB19" s="85"/>
      <c r="MXC19" s="85"/>
      <c r="MXD19" s="85"/>
      <c r="MXE19" s="85"/>
      <c r="MXF19" s="85"/>
      <c r="MXG19" s="85"/>
      <c r="MXH19" s="85"/>
      <c r="MXI19" s="85"/>
      <c r="MXJ19" s="85"/>
      <c r="MXK19" s="85"/>
      <c r="MXL19" s="85"/>
      <c r="MXM19" s="85"/>
      <c r="MXN19" s="85"/>
      <c r="MXO19" s="85"/>
      <c r="MXP19" s="85"/>
      <c r="MXQ19" s="85"/>
      <c r="MXR19" s="85"/>
      <c r="MXS19" s="85"/>
      <c r="MXT19" s="85"/>
      <c r="MXU19" s="85"/>
      <c r="MXV19" s="85"/>
      <c r="MXW19" s="85"/>
      <c r="MXX19" s="85"/>
      <c r="MXY19" s="85"/>
      <c r="MXZ19" s="85"/>
      <c r="MYA19" s="85"/>
      <c r="MYB19" s="85"/>
      <c r="MYC19" s="85"/>
      <c r="MYD19" s="85"/>
      <c r="MYE19" s="85"/>
      <c r="MYF19" s="85"/>
      <c r="MYG19" s="85"/>
      <c r="MYH19" s="85"/>
      <c r="MYI19" s="85"/>
      <c r="MYJ19" s="85"/>
      <c r="MYK19" s="85"/>
      <c r="MYL19" s="85"/>
      <c r="MYM19" s="85"/>
      <c r="MYN19" s="85"/>
      <c r="MYO19" s="85"/>
      <c r="MYP19" s="85"/>
      <c r="MYQ19" s="85"/>
      <c r="MYR19" s="85"/>
      <c r="MYS19" s="85"/>
      <c r="MYT19" s="85"/>
      <c r="MYU19" s="85"/>
      <c r="MYV19" s="85"/>
      <c r="MYW19" s="85"/>
      <c r="MYX19" s="85"/>
      <c r="MYY19" s="85"/>
      <c r="MYZ19" s="85"/>
      <c r="MZA19" s="85"/>
      <c r="MZB19" s="85"/>
      <c r="MZC19" s="85"/>
      <c r="MZD19" s="85"/>
      <c r="MZE19" s="85"/>
      <c r="MZF19" s="85"/>
      <c r="MZG19" s="85"/>
      <c r="MZH19" s="85"/>
      <c r="MZI19" s="85"/>
      <c r="MZJ19" s="85"/>
      <c r="MZK19" s="85"/>
      <c r="MZL19" s="85"/>
      <c r="MZM19" s="85"/>
      <c r="MZN19" s="85"/>
      <c r="MZO19" s="85"/>
      <c r="MZP19" s="85"/>
      <c r="MZQ19" s="85"/>
      <c r="MZR19" s="85"/>
      <c r="MZS19" s="85"/>
      <c r="MZT19" s="85"/>
      <c r="MZU19" s="85"/>
      <c r="MZV19" s="85"/>
      <c r="MZW19" s="85"/>
      <c r="MZX19" s="85"/>
      <c r="MZY19" s="85"/>
      <c r="MZZ19" s="85"/>
      <c r="NAA19" s="85"/>
      <c r="NAB19" s="85"/>
      <c r="NAC19" s="85"/>
      <c r="NAD19" s="85"/>
      <c r="NAE19" s="85"/>
      <c r="NAF19" s="85"/>
      <c r="NAG19" s="85"/>
      <c r="NAH19" s="85"/>
      <c r="NAI19" s="85"/>
      <c r="NAJ19" s="85"/>
      <c r="NAK19" s="85"/>
      <c r="NAL19" s="85"/>
      <c r="NAM19" s="85"/>
      <c r="NAN19" s="85"/>
      <c r="NAO19" s="85"/>
      <c r="NAP19" s="85"/>
      <c r="NAQ19" s="85"/>
      <c r="NAR19" s="85"/>
      <c r="NAS19" s="85"/>
      <c r="NAT19" s="85"/>
      <c r="NAU19" s="85"/>
      <c r="NAV19" s="85"/>
      <c r="NAW19" s="85"/>
      <c r="NAX19" s="85"/>
      <c r="NAY19" s="85"/>
      <c r="NAZ19" s="85"/>
      <c r="NBA19" s="85"/>
      <c r="NBB19" s="85"/>
      <c r="NBC19" s="85"/>
      <c r="NBD19" s="85"/>
      <c r="NBE19" s="85"/>
      <c r="NBF19" s="85"/>
      <c r="NBG19" s="85"/>
      <c r="NBH19" s="85"/>
      <c r="NBI19" s="85"/>
      <c r="NBJ19" s="85"/>
      <c r="NBK19" s="85"/>
      <c r="NBL19" s="85"/>
      <c r="NBM19" s="85"/>
      <c r="NBN19" s="85"/>
      <c r="NBO19" s="85"/>
      <c r="NBP19" s="85"/>
      <c r="NBQ19" s="85"/>
      <c r="NBR19" s="85"/>
      <c r="NBS19" s="85"/>
      <c r="NBT19" s="85"/>
      <c r="NBU19" s="85"/>
      <c r="NBV19" s="85"/>
      <c r="NBW19" s="85"/>
      <c r="NBX19" s="85"/>
      <c r="NBY19" s="85"/>
      <c r="NBZ19" s="85"/>
      <c r="NCA19" s="85"/>
      <c r="NCB19" s="85"/>
      <c r="NCC19" s="85"/>
      <c r="NCD19" s="85"/>
      <c r="NCE19" s="85"/>
      <c r="NCF19" s="85"/>
      <c r="NCG19" s="85"/>
      <c r="NCH19" s="85"/>
      <c r="NCI19" s="85"/>
      <c r="NCJ19" s="85"/>
      <c r="NCK19" s="85"/>
      <c r="NCL19" s="85"/>
      <c r="NCM19" s="85"/>
      <c r="NCN19" s="85"/>
      <c r="NCO19" s="85"/>
      <c r="NCP19" s="85"/>
      <c r="NCQ19" s="85"/>
      <c r="NCR19" s="85"/>
      <c r="NCS19" s="85"/>
      <c r="NCT19" s="85"/>
      <c r="NCU19" s="85"/>
      <c r="NCV19" s="85"/>
      <c r="NCW19" s="85"/>
      <c r="NCX19" s="85"/>
      <c r="NCY19" s="85"/>
      <c r="NCZ19" s="85"/>
      <c r="NDA19" s="85"/>
      <c r="NDB19" s="85"/>
      <c r="NDC19" s="85"/>
      <c r="NDD19" s="85"/>
      <c r="NDE19" s="85"/>
      <c r="NDF19" s="85"/>
      <c r="NDG19" s="85"/>
      <c r="NDH19" s="85"/>
      <c r="NDI19" s="85"/>
      <c r="NDJ19" s="85"/>
      <c r="NDK19" s="85"/>
      <c r="NDL19" s="85"/>
      <c r="NDM19" s="85"/>
      <c r="NDN19" s="85"/>
      <c r="NDO19" s="85"/>
      <c r="NDP19" s="85"/>
      <c r="NDQ19" s="85"/>
      <c r="NDR19" s="85"/>
      <c r="NDS19" s="85"/>
      <c r="NDT19" s="85"/>
      <c r="NDU19" s="85"/>
      <c r="NDV19" s="85"/>
      <c r="NDW19" s="85"/>
      <c r="NDX19" s="85"/>
      <c r="NDY19" s="85"/>
      <c r="NDZ19" s="85"/>
      <c r="NEA19" s="85"/>
      <c r="NEB19" s="85"/>
      <c r="NEC19" s="85"/>
      <c r="NED19" s="85"/>
      <c r="NEE19" s="85"/>
      <c r="NEF19" s="85"/>
      <c r="NEG19" s="85"/>
      <c r="NEH19" s="85"/>
      <c r="NEI19" s="85"/>
      <c r="NEJ19" s="85"/>
      <c r="NEK19" s="85"/>
      <c r="NEL19" s="85"/>
      <c r="NEM19" s="85"/>
      <c r="NEN19" s="85"/>
      <c r="NEO19" s="85"/>
      <c r="NEP19" s="85"/>
      <c r="NEQ19" s="85"/>
      <c r="NER19" s="85"/>
      <c r="NES19" s="85"/>
      <c r="NET19" s="85"/>
      <c r="NEU19" s="85"/>
      <c r="NEV19" s="85"/>
      <c r="NEW19" s="85"/>
      <c r="NEX19" s="85"/>
      <c r="NEY19" s="85"/>
      <c r="NEZ19" s="85"/>
      <c r="NFA19" s="85"/>
      <c r="NFB19" s="85"/>
      <c r="NFC19" s="85"/>
      <c r="NFD19" s="85"/>
      <c r="NFE19" s="85"/>
      <c r="NFF19" s="85"/>
      <c r="NFG19" s="85"/>
      <c r="NFH19" s="85"/>
      <c r="NFI19" s="85"/>
      <c r="NFJ19" s="85"/>
      <c r="NFK19" s="85"/>
      <c r="NFL19" s="85"/>
      <c r="NFM19" s="85"/>
      <c r="NFN19" s="85"/>
      <c r="NFO19" s="85"/>
      <c r="NFP19" s="85"/>
      <c r="NFQ19" s="85"/>
      <c r="NFR19" s="85"/>
      <c r="NFS19" s="85"/>
      <c r="NFT19" s="85"/>
      <c r="NFU19" s="85"/>
      <c r="NFV19" s="85"/>
      <c r="NFW19" s="85"/>
      <c r="NFX19" s="85"/>
      <c r="NFY19" s="85"/>
      <c r="NFZ19" s="85"/>
      <c r="NGA19" s="85"/>
      <c r="NGB19" s="85"/>
      <c r="NGC19" s="85"/>
      <c r="NGD19" s="85"/>
      <c r="NGE19" s="85"/>
      <c r="NGF19" s="85"/>
      <c r="NGG19" s="85"/>
      <c r="NGH19" s="85"/>
      <c r="NGI19" s="85"/>
      <c r="NGJ19" s="85"/>
      <c r="NGK19" s="85"/>
      <c r="NGL19" s="85"/>
      <c r="NGM19" s="85"/>
      <c r="NGN19" s="85"/>
      <c r="NGO19" s="85"/>
      <c r="NGP19" s="85"/>
      <c r="NGQ19" s="85"/>
      <c r="NGR19" s="85"/>
      <c r="NGS19" s="85"/>
      <c r="NGT19" s="85"/>
      <c r="NGU19" s="85"/>
      <c r="NGV19" s="85"/>
      <c r="NGW19" s="85"/>
      <c r="NGX19" s="85"/>
      <c r="NGY19" s="85"/>
      <c r="NGZ19" s="85"/>
      <c r="NHA19" s="85"/>
      <c r="NHB19" s="85"/>
      <c r="NHC19" s="85"/>
      <c r="NHD19" s="85"/>
      <c r="NHE19" s="85"/>
      <c r="NHF19" s="85"/>
      <c r="NHG19" s="85"/>
      <c r="NHH19" s="85"/>
      <c r="NHI19" s="85"/>
      <c r="NHJ19" s="85"/>
      <c r="NHK19" s="85"/>
      <c r="NHL19" s="85"/>
      <c r="NHM19" s="85"/>
      <c r="NHN19" s="85"/>
      <c r="NHO19" s="85"/>
      <c r="NHP19" s="85"/>
      <c r="NHQ19" s="85"/>
      <c r="NHR19" s="85"/>
      <c r="NHS19" s="85"/>
      <c r="NHT19" s="85"/>
      <c r="NHU19" s="85"/>
      <c r="NHV19" s="85"/>
      <c r="NHW19" s="85"/>
      <c r="NHX19" s="85"/>
      <c r="NHY19" s="85"/>
      <c r="NHZ19" s="85"/>
      <c r="NIA19" s="85"/>
      <c r="NIB19" s="85"/>
      <c r="NIC19" s="85"/>
      <c r="NID19" s="85"/>
      <c r="NIE19" s="85"/>
      <c r="NIF19" s="85"/>
      <c r="NIG19" s="85"/>
      <c r="NIH19" s="85"/>
      <c r="NII19" s="85"/>
      <c r="NIJ19" s="85"/>
      <c r="NIK19" s="85"/>
      <c r="NIL19" s="85"/>
      <c r="NIM19" s="85"/>
      <c r="NIN19" s="85"/>
      <c r="NIO19" s="85"/>
      <c r="NIP19" s="85"/>
      <c r="NIQ19" s="85"/>
      <c r="NIR19" s="85"/>
      <c r="NIS19" s="85"/>
      <c r="NIT19" s="85"/>
      <c r="NIU19" s="85"/>
      <c r="NIV19" s="85"/>
      <c r="NIW19" s="85"/>
      <c r="NIX19" s="85"/>
      <c r="NIY19" s="85"/>
      <c r="NIZ19" s="85"/>
      <c r="NJA19" s="85"/>
      <c r="NJB19" s="85"/>
      <c r="NJC19" s="85"/>
      <c r="NJD19" s="85"/>
      <c r="NJE19" s="85"/>
      <c r="NJF19" s="85"/>
      <c r="NJG19" s="85"/>
      <c r="NJH19" s="85"/>
      <c r="NJI19" s="85"/>
      <c r="NJJ19" s="85"/>
      <c r="NJK19" s="85"/>
      <c r="NJL19" s="85"/>
      <c r="NJM19" s="85"/>
      <c r="NJN19" s="85"/>
      <c r="NJO19" s="85"/>
      <c r="NJP19" s="85"/>
      <c r="NJQ19" s="85"/>
      <c r="NJR19" s="85"/>
      <c r="NJS19" s="85"/>
      <c r="NJT19" s="85"/>
      <c r="NJU19" s="85"/>
      <c r="NJV19" s="85"/>
      <c r="NJW19" s="85"/>
      <c r="NJX19" s="85"/>
      <c r="NJY19" s="85"/>
      <c r="NJZ19" s="85"/>
      <c r="NKA19" s="85"/>
      <c r="NKB19" s="85"/>
      <c r="NKC19" s="85"/>
      <c r="NKD19" s="85"/>
      <c r="NKE19" s="85"/>
      <c r="NKF19" s="85"/>
      <c r="NKG19" s="85"/>
      <c r="NKH19" s="85"/>
      <c r="NKI19" s="85"/>
      <c r="NKJ19" s="85"/>
      <c r="NKK19" s="85"/>
      <c r="NKL19" s="85"/>
      <c r="NKM19" s="85"/>
      <c r="NKN19" s="85"/>
      <c r="NKO19" s="85"/>
      <c r="NKP19" s="85"/>
      <c r="NKQ19" s="85"/>
      <c r="NKR19" s="85"/>
      <c r="NKS19" s="85"/>
      <c r="NKT19" s="85"/>
      <c r="NKU19" s="85"/>
      <c r="NKV19" s="85"/>
      <c r="NKW19" s="85"/>
      <c r="NKX19" s="85"/>
      <c r="NKY19" s="85"/>
      <c r="NKZ19" s="85"/>
      <c r="NLA19" s="85"/>
      <c r="NLB19" s="85"/>
      <c r="NLC19" s="85"/>
      <c r="NLD19" s="85"/>
      <c r="NLE19" s="85"/>
      <c r="NLF19" s="85"/>
      <c r="NLG19" s="85"/>
      <c r="NLH19" s="85"/>
      <c r="NLI19" s="85"/>
      <c r="NLJ19" s="85"/>
      <c r="NLK19" s="85"/>
      <c r="NLL19" s="85"/>
      <c r="NLM19" s="85"/>
      <c r="NLN19" s="85"/>
      <c r="NLO19" s="85"/>
      <c r="NLP19" s="85"/>
      <c r="NLQ19" s="85"/>
      <c r="NLR19" s="85"/>
      <c r="NLS19" s="85"/>
      <c r="NLT19" s="85"/>
      <c r="NLU19" s="85"/>
      <c r="NLV19" s="85"/>
      <c r="NLW19" s="85"/>
      <c r="NLX19" s="85"/>
      <c r="NLY19" s="85"/>
      <c r="NLZ19" s="85"/>
      <c r="NMA19" s="85"/>
      <c r="NMB19" s="85"/>
      <c r="NMC19" s="85"/>
      <c r="NMD19" s="85"/>
      <c r="NME19" s="85"/>
      <c r="NMF19" s="85"/>
      <c r="NMG19" s="85"/>
      <c r="NMH19" s="85"/>
      <c r="NMI19" s="85"/>
      <c r="NMJ19" s="85"/>
      <c r="NMK19" s="85"/>
      <c r="NML19" s="85"/>
      <c r="NMM19" s="85"/>
      <c r="NMN19" s="85"/>
      <c r="NMO19" s="85"/>
      <c r="NMP19" s="85"/>
      <c r="NMQ19" s="85"/>
      <c r="NMR19" s="85"/>
      <c r="NMS19" s="85"/>
      <c r="NMT19" s="85"/>
      <c r="NMU19" s="85"/>
      <c r="NMV19" s="85"/>
      <c r="NMW19" s="85"/>
      <c r="NMX19" s="85"/>
      <c r="NMY19" s="85"/>
      <c r="NMZ19" s="85"/>
      <c r="NNA19" s="85"/>
      <c r="NNB19" s="85"/>
      <c r="NNC19" s="85"/>
      <c r="NND19" s="85"/>
      <c r="NNE19" s="85"/>
      <c r="NNF19" s="85"/>
      <c r="NNG19" s="85"/>
      <c r="NNH19" s="85"/>
      <c r="NNI19" s="85"/>
      <c r="NNJ19" s="85"/>
      <c r="NNK19" s="85"/>
      <c r="NNL19" s="85"/>
      <c r="NNM19" s="85"/>
      <c r="NNN19" s="85"/>
      <c r="NNO19" s="85"/>
      <c r="NNP19" s="85"/>
      <c r="NNQ19" s="85"/>
      <c r="NNR19" s="85"/>
      <c r="NNS19" s="85"/>
      <c r="NNT19" s="85"/>
      <c r="NNU19" s="85"/>
      <c r="NNV19" s="85"/>
      <c r="NNW19" s="85"/>
      <c r="NNX19" s="85"/>
      <c r="NNY19" s="85"/>
      <c r="NNZ19" s="85"/>
      <c r="NOA19" s="85"/>
      <c r="NOB19" s="85"/>
      <c r="NOC19" s="85"/>
      <c r="NOD19" s="85"/>
      <c r="NOE19" s="85"/>
      <c r="NOF19" s="85"/>
      <c r="NOG19" s="85"/>
      <c r="NOH19" s="85"/>
      <c r="NOI19" s="85"/>
      <c r="NOJ19" s="85"/>
      <c r="NOK19" s="85"/>
      <c r="NOL19" s="85"/>
      <c r="NOM19" s="85"/>
      <c r="NON19" s="85"/>
      <c r="NOO19" s="85"/>
      <c r="NOP19" s="85"/>
      <c r="NOQ19" s="85"/>
      <c r="NOR19" s="85"/>
      <c r="NOS19" s="85"/>
      <c r="NOT19" s="85"/>
      <c r="NOU19" s="85"/>
      <c r="NOV19" s="85"/>
      <c r="NOW19" s="85"/>
      <c r="NOX19" s="85"/>
      <c r="NOY19" s="85"/>
      <c r="NOZ19" s="85"/>
      <c r="NPA19" s="85"/>
      <c r="NPB19" s="85"/>
      <c r="NPC19" s="85"/>
      <c r="NPD19" s="85"/>
      <c r="NPE19" s="85"/>
      <c r="NPF19" s="85"/>
      <c r="NPG19" s="85"/>
      <c r="NPH19" s="85"/>
      <c r="NPI19" s="85"/>
      <c r="NPJ19" s="85"/>
      <c r="NPK19" s="85"/>
      <c r="NPL19" s="85"/>
      <c r="NPM19" s="85"/>
      <c r="NPN19" s="85"/>
      <c r="NPO19" s="85"/>
      <c r="NPP19" s="85"/>
      <c r="NPQ19" s="85"/>
      <c r="NPR19" s="85"/>
      <c r="NPS19" s="85"/>
      <c r="NPT19" s="85"/>
      <c r="NPU19" s="85"/>
      <c r="NPV19" s="85"/>
      <c r="NPW19" s="85"/>
      <c r="NPX19" s="85"/>
      <c r="NPY19" s="85"/>
      <c r="NPZ19" s="85"/>
      <c r="NQA19" s="85"/>
      <c r="NQB19" s="85"/>
      <c r="NQC19" s="85"/>
      <c r="NQD19" s="85"/>
      <c r="NQE19" s="85"/>
      <c r="NQF19" s="85"/>
      <c r="NQG19" s="85"/>
      <c r="NQH19" s="85"/>
      <c r="NQI19" s="85"/>
      <c r="NQJ19" s="85"/>
      <c r="NQK19" s="85"/>
      <c r="NQL19" s="85"/>
      <c r="NQM19" s="85"/>
      <c r="NQN19" s="85"/>
      <c r="NQO19" s="85"/>
      <c r="NQP19" s="85"/>
      <c r="NQQ19" s="85"/>
      <c r="NQR19" s="85"/>
      <c r="NQS19" s="85"/>
      <c r="NQT19" s="85"/>
      <c r="NQU19" s="85"/>
      <c r="NQV19" s="85"/>
      <c r="NQW19" s="85"/>
      <c r="NQX19" s="85"/>
      <c r="NQY19" s="85"/>
      <c r="NQZ19" s="85"/>
      <c r="NRA19" s="85"/>
      <c r="NRB19" s="85"/>
      <c r="NRC19" s="85"/>
      <c r="NRD19" s="85"/>
      <c r="NRE19" s="85"/>
      <c r="NRF19" s="85"/>
      <c r="NRG19" s="85"/>
      <c r="NRH19" s="85"/>
      <c r="NRI19" s="85"/>
      <c r="NRJ19" s="85"/>
      <c r="NRK19" s="85"/>
      <c r="NRL19" s="85"/>
      <c r="NRM19" s="85"/>
      <c r="NRN19" s="85"/>
      <c r="NRO19" s="85"/>
      <c r="NRP19" s="85"/>
      <c r="NRQ19" s="85"/>
      <c r="NRR19" s="85"/>
      <c r="NRS19" s="85"/>
      <c r="NRT19" s="85"/>
      <c r="NRU19" s="85"/>
      <c r="NRV19" s="85"/>
      <c r="NRW19" s="85"/>
      <c r="NRX19" s="85"/>
      <c r="NRY19" s="85"/>
      <c r="NRZ19" s="85"/>
      <c r="NSA19" s="85"/>
      <c r="NSB19" s="85"/>
      <c r="NSC19" s="85"/>
      <c r="NSD19" s="85"/>
      <c r="NSE19" s="85"/>
      <c r="NSF19" s="85"/>
      <c r="NSG19" s="85"/>
      <c r="NSH19" s="85"/>
      <c r="NSI19" s="85"/>
      <c r="NSJ19" s="85"/>
      <c r="NSK19" s="85"/>
      <c r="NSL19" s="85"/>
      <c r="NSM19" s="85"/>
      <c r="NSN19" s="85"/>
      <c r="NSO19" s="85"/>
      <c r="NSP19" s="85"/>
      <c r="NSQ19" s="85"/>
      <c r="NSR19" s="85"/>
      <c r="NSS19" s="85"/>
      <c r="NST19" s="85"/>
      <c r="NSU19" s="85"/>
      <c r="NSV19" s="85"/>
      <c r="NSW19" s="85"/>
      <c r="NSX19" s="85"/>
      <c r="NSY19" s="85"/>
      <c r="NSZ19" s="85"/>
      <c r="NTA19" s="85"/>
      <c r="NTB19" s="85"/>
      <c r="NTC19" s="85"/>
      <c r="NTD19" s="85"/>
      <c r="NTE19" s="85"/>
      <c r="NTF19" s="85"/>
      <c r="NTG19" s="85"/>
      <c r="NTH19" s="85"/>
      <c r="NTI19" s="85"/>
      <c r="NTJ19" s="85"/>
      <c r="NTK19" s="85"/>
      <c r="NTL19" s="85"/>
      <c r="NTM19" s="85"/>
      <c r="NTN19" s="85"/>
      <c r="NTO19" s="85"/>
      <c r="NTP19" s="85"/>
      <c r="NTQ19" s="85"/>
      <c r="NTR19" s="85"/>
      <c r="NTS19" s="85"/>
      <c r="NTT19" s="85"/>
      <c r="NTU19" s="85"/>
      <c r="NTV19" s="85"/>
      <c r="NTW19" s="85"/>
      <c r="NTX19" s="85"/>
      <c r="NTY19" s="85"/>
      <c r="NTZ19" s="85"/>
      <c r="NUA19" s="85"/>
      <c r="NUB19" s="85"/>
      <c r="NUC19" s="85"/>
      <c r="NUD19" s="85"/>
      <c r="NUE19" s="85"/>
      <c r="NUF19" s="85"/>
      <c r="NUG19" s="85"/>
      <c r="NUH19" s="85"/>
      <c r="NUI19" s="85"/>
      <c r="NUJ19" s="85"/>
      <c r="NUK19" s="85"/>
      <c r="NUL19" s="85"/>
      <c r="NUM19" s="85"/>
      <c r="NUN19" s="85"/>
      <c r="NUO19" s="85"/>
      <c r="NUP19" s="85"/>
      <c r="NUQ19" s="85"/>
      <c r="NUR19" s="85"/>
      <c r="NUS19" s="85"/>
      <c r="NUT19" s="85"/>
      <c r="NUU19" s="85"/>
      <c r="NUV19" s="85"/>
      <c r="NUW19" s="85"/>
      <c r="NUX19" s="85"/>
      <c r="NUY19" s="85"/>
      <c r="NUZ19" s="85"/>
      <c r="NVA19" s="85"/>
      <c r="NVB19" s="85"/>
      <c r="NVC19" s="85"/>
      <c r="NVD19" s="85"/>
      <c r="NVE19" s="85"/>
      <c r="NVF19" s="85"/>
      <c r="NVG19" s="85"/>
      <c r="NVH19" s="85"/>
      <c r="NVI19" s="85"/>
      <c r="NVJ19" s="85"/>
      <c r="NVK19" s="85"/>
      <c r="NVL19" s="85"/>
      <c r="NVM19" s="85"/>
      <c r="NVN19" s="85"/>
      <c r="NVO19" s="85"/>
      <c r="NVP19" s="85"/>
      <c r="NVQ19" s="85"/>
      <c r="NVR19" s="85"/>
      <c r="NVS19" s="85"/>
      <c r="NVT19" s="85"/>
      <c r="NVU19" s="85"/>
      <c r="NVV19" s="85"/>
      <c r="NVW19" s="85"/>
      <c r="NVX19" s="85"/>
      <c r="NVY19" s="85"/>
      <c r="NVZ19" s="85"/>
      <c r="NWA19" s="85"/>
      <c r="NWB19" s="85"/>
      <c r="NWC19" s="85"/>
      <c r="NWD19" s="85"/>
      <c r="NWE19" s="85"/>
      <c r="NWF19" s="85"/>
      <c r="NWG19" s="85"/>
      <c r="NWH19" s="85"/>
      <c r="NWI19" s="85"/>
      <c r="NWJ19" s="85"/>
      <c r="NWK19" s="85"/>
      <c r="NWL19" s="85"/>
      <c r="NWM19" s="85"/>
      <c r="NWN19" s="85"/>
      <c r="NWO19" s="85"/>
      <c r="NWP19" s="85"/>
      <c r="NWQ19" s="85"/>
      <c r="NWR19" s="85"/>
      <c r="NWS19" s="85"/>
      <c r="NWT19" s="85"/>
      <c r="NWU19" s="85"/>
      <c r="NWV19" s="85"/>
      <c r="NWW19" s="85"/>
      <c r="NWX19" s="85"/>
      <c r="NWY19" s="85"/>
      <c r="NWZ19" s="85"/>
      <c r="NXA19" s="85"/>
      <c r="NXB19" s="85"/>
      <c r="NXC19" s="85"/>
      <c r="NXD19" s="85"/>
      <c r="NXE19" s="85"/>
      <c r="NXF19" s="85"/>
      <c r="NXG19" s="85"/>
      <c r="NXH19" s="85"/>
      <c r="NXI19" s="85"/>
      <c r="NXJ19" s="85"/>
      <c r="NXK19" s="85"/>
      <c r="NXL19" s="85"/>
      <c r="NXM19" s="85"/>
      <c r="NXN19" s="85"/>
      <c r="NXO19" s="85"/>
      <c r="NXP19" s="85"/>
      <c r="NXQ19" s="85"/>
      <c r="NXR19" s="85"/>
      <c r="NXS19" s="85"/>
      <c r="NXT19" s="85"/>
      <c r="NXU19" s="85"/>
      <c r="NXV19" s="85"/>
      <c r="NXW19" s="85"/>
      <c r="NXX19" s="85"/>
      <c r="NXY19" s="85"/>
      <c r="NXZ19" s="85"/>
      <c r="NYA19" s="85"/>
      <c r="NYB19" s="85"/>
      <c r="NYC19" s="85"/>
      <c r="NYD19" s="85"/>
      <c r="NYE19" s="85"/>
      <c r="NYF19" s="85"/>
      <c r="NYG19" s="85"/>
      <c r="NYH19" s="85"/>
      <c r="NYI19" s="85"/>
      <c r="NYJ19" s="85"/>
      <c r="NYK19" s="85"/>
      <c r="NYL19" s="85"/>
      <c r="NYM19" s="85"/>
      <c r="NYN19" s="85"/>
      <c r="NYO19" s="85"/>
      <c r="NYP19" s="85"/>
      <c r="NYQ19" s="85"/>
      <c r="NYR19" s="85"/>
      <c r="NYS19" s="85"/>
      <c r="NYT19" s="85"/>
      <c r="NYU19" s="85"/>
      <c r="NYV19" s="85"/>
      <c r="NYW19" s="85"/>
      <c r="NYX19" s="85"/>
      <c r="NYY19" s="85"/>
      <c r="NYZ19" s="85"/>
      <c r="NZA19" s="85"/>
      <c r="NZB19" s="85"/>
      <c r="NZC19" s="85"/>
      <c r="NZD19" s="85"/>
      <c r="NZE19" s="85"/>
      <c r="NZF19" s="85"/>
      <c r="NZG19" s="85"/>
      <c r="NZH19" s="85"/>
      <c r="NZI19" s="85"/>
      <c r="NZJ19" s="85"/>
      <c r="NZK19" s="85"/>
      <c r="NZL19" s="85"/>
      <c r="NZM19" s="85"/>
      <c r="NZN19" s="85"/>
      <c r="NZO19" s="85"/>
      <c r="NZP19" s="85"/>
      <c r="NZQ19" s="85"/>
      <c r="NZR19" s="85"/>
      <c r="NZS19" s="85"/>
      <c r="NZT19" s="85"/>
      <c r="NZU19" s="85"/>
      <c r="NZV19" s="85"/>
      <c r="NZW19" s="85"/>
      <c r="NZX19" s="85"/>
      <c r="NZY19" s="85"/>
      <c r="NZZ19" s="85"/>
      <c r="OAA19" s="85"/>
      <c r="OAB19" s="85"/>
      <c r="OAC19" s="85"/>
      <c r="OAD19" s="85"/>
      <c r="OAE19" s="85"/>
      <c r="OAF19" s="85"/>
      <c r="OAG19" s="85"/>
      <c r="OAH19" s="85"/>
      <c r="OAI19" s="85"/>
      <c r="OAJ19" s="85"/>
      <c r="OAK19" s="85"/>
      <c r="OAL19" s="85"/>
      <c r="OAM19" s="85"/>
      <c r="OAN19" s="85"/>
      <c r="OAO19" s="85"/>
      <c r="OAP19" s="85"/>
      <c r="OAQ19" s="85"/>
      <c r="OAR19" s="85"/>
      <c r="OAS19" s="85"/>
      <c r="OAT19" s="85"/>
      <c r="OAU19" s="85"/>
      <c r="OAV19" s="85"/>
      <c r="OAW19" s="85"/>
      <c r="OAX19" s="85"/>
      <c r="OAY19" s="85"/>
      <c r="OAZ19" s="85"/>
      <c r="OBA19" s="85"/>
      <c r="OBB19" s="85"/>
      <c r="OBC19" s="85"/>
      <c r="OBD19" s="85"/>
      <c r="OBE19" s="85"/>
      <c r="OBF19" s="85"/>
      <c r="OBG19" s="85"/>
      <c r="OBH19" s="85"/>
      <c r="OBI19" s="85"/>
      <c r="OBJ19" s="85"/>
      <c r="OBK19" s="85"/>
      <c r="OBL19" s="85"/>
      <c r="OBM19" s="85"/>
      <c r="OBN19" s="85"/>
      <c r="OBO19" s="85"/>
      <c r="OBP19" s="85"/>
      <c r="OBQ19" s="85"/>
      <c r="OBR19" s="85"/>
      <c r="OBS19" s="85"/>
      <c r="OBT19" s="85"/>
      <c r="OBU19" s="85"/>
      <c r="OBV19" s="85"/>
      <c r="OBW19" s="85"/>
      <c r="OBX19" s="85"/>
      <c r="OBY19" s="85"/>
      <c r="OBZ19" s="85"/>
      <c r="OCA19" s="85"/>
      <c r="OCB19" s="85"/>
      <c r="OCC19" s="85"/>
      <c r="OCD19" s="85"/>
      <c r="OCE19" s="85"/>
      <c r="OCF19" s="85"/>
      <c r="OCG19" s="85"/>
      <c r="OCH19" s="85"/>
      <c r="OCI19" s="85"/>
      <c r="OCJ19" s="85"/>
      <c r="OCK19" s="85"/>
      <c r="OCL19" s="85"/>
      <c r="OCM19" s="85"/>
      <c r="OCN19" s="85"/>
      <c r="OCO19" s="85"/>
      <c r="OCP19" s="85"/>
      <c r="OCQ19" s="85"/>
      <c r="OCR19" s="85"/>
      <c r="OCS19" s="85"/>
      <c r="OCT19" s="85"/>
      <c r="OCU19" s="85"/>
      <c r="OCV19" s="85"/>
      <c r="OCW19" s="85"/>
      <c r="OCX19" s="85"/>
      <c r="OCY19" s="85"/>
      <c r="OCZ19" s="85"/>
      <c r="ODA19" s="85"/>
      <c r="ODB19" s="85"/>
      <c r="ODC19" s="85"/>
      <c r="ODD19" s="85"/>
      <c r="ODE19" s="85"/>
      <c r="ODF19" s="85"/>
      <c r="ODG19" s="85"/>
      <c r="ODH19" s="85"/>
      <c r="ODI19" s="85"/>
      <c r="ODJ19" s="85"/>
      <c r="ODK19" s="85"/>
      <c r="ODL19" s="85"/>
      <c r="ODM19" s="85"/>
      <c r="ODN19" s="85"/>
      <c r="ODO19" s="85"/>
      <c r="ODP19" s="85"/>
      <c r="ODQ19" s="85"/>
      <c r="ODR19" s="85"/>
      <c r="ODS19" s="85"/>
      <c r="ODT19" s="85"/>
      <c r="ODU19" s="85"/>
      <c r="ODV19" s="85"/>
      <c r="ODW19" s="85"/>
      <c r="ODX19" s="85"/>
      <c r="ODY19" s="85"/>
      <c r="ODZ19" s="85"/>
      <c r="OEA19" s="85"/>
      <c r="OEB19" s="85"/>
      <c r="OEC19" s="85"/>
      <c r="OED19" s="85"/>
      <c r="OEE19" s="85"/>
      <c r="OEF19" s="85"/>
      <c r="OEG19" s="85"/>
      <c r="OEH19" s="85"/>
      <c r="OEI19" s="85"/>
      <c r="OEJ19" s="85"/>
      <c r="OEK19" s="85"/>
      <c r="OEL19" s="85"/>
      <c r="OEM19" s="85"/>
      <c r="OEN19" s="85"/>
      <c r="OEO19" s="85"/>
      <c r="OEP19" s="85"/>
      <c r="OEQ19" s="85"/>
      <c r="OER19" s="85"/>
      <c r="OES19" s="85"/>
      <c r="OET19" s="85"/>
      <c r="OEU19" s="85"/>
      <c r="OEV19" s="85"/>
      <c r="OEW19" s="85"/>
      <c r="OEX19" s="85"/>
      <c r="OEY19" s="85"/>
      <c r="OEZ19" s="85"/>
      <c r="OFA19" s="85"/>
      <c r="OFB19" s="85"/>
      <c r="OFC19" s="85"/>
      <c r="OFD19" s="85"/>
      <c r="OFE19" s="85"/>
      <c r="OFF19" s="85"/>
      <c r="OFG19" s="85"/>
      <c r="OFH19" s="85"/>
      <c r="OFI19" s="85"/>
      <c r="OFJ19" s="85"/>
      <c r="OFK19" s="85"/>
      <c r="OFL19" s="85"/>
      <c r="OFM19" s="85"/>
      <c r="OFN19" s="85"/>
      <c r="OFO19" s="85"/>
      <c r="OFP19" s="85"/>
      <c r="OFQ19" s="85"/>
      <c r="OFR19" s="85"/>
      <c r="OFS19" s="85"/>
      <c r="OFT19" s="85"/>
      <c r="OFU19" s="85"/>
      <c r="OFV19" s="85"/>
      <c r="OFW19" s="85"/>
      <c r="OFX19" s="85"/>
      <c r="OFY19" s="85"/>
      <c r="OFZ19" s="85"/>
      <c r="OGA19" s="85"/>
      <c r="OGB19" s="85"/>
      <c r="OGC19" s="85"/>
      <c r="OGD19" s="85"/>
      <c r="OGE19" s="85"/>
      <c r="OGF19" s="85"/>
      <c r="OGG19" s="85"/>
      <c r="OGH19" s="85"/>
      <c r="OGI19" s="85"/>
      <c r="OGJ19" s="85"/>
      <c r="OGK19" s="85"/>
      <c r="OGL19" s="85"/>
      <c r="OGM19" s="85"/>
      <c r="OGN19" s="85"/>
      <c r="OGO19" s="85"/>
      <c r="OGP19" s="85"/>
      <c r="OGQ19" s="85"/>
      <c r="OGR19" s="85"/>
      <c r="OGS19" s="85"/>
      <c r="OGT19" s="85"/>
      <c r="OGU19" s="85"/>
      <c r="OGV19" s="85"/>
      <c r="OGW19" s="85"/>
      <c r="OGX19" s="85"/>
      <c r="OGY19" s="85"/>
      <c r="OGZ19" s="85"/>
      <c r="OHA19" s="85"/>
      <c r="OHB19" s="85"/>
      <c r="OHC19" s="85"/>
      <c r="OHD19" s="85"/>
      <c r="OHE19" s="85"/>
      <c r="OHF19" s="85"/>
      <c r="OHG19" s="85"/>
      <c r="OHH19" s="85"/>
      <c r="OHI19" s="85"/>
      <c r="OHJ19" s="85"/>
      <c r="OHK19" s="85"/>
      <c r="OHL19" s="85"/>
      <c r="OHM19" s="85"/>
      <c r="OHN19" s="85"/>
      <c r="OHO19" s="85"/>
      <c r="OHP19" s="85"/>
      <c r="OHQ19" s="85"/>
      <c r="OHR19" s="85"/>
      <c r="OHS19" s="85"/>
      <c r="OHT19" s="85"/>
      <c r="OHU19" s="85"/>
      <c r="OHV19" s="85"/>
      <c r="OHW19" s="85"/>
      <c r="OHX19" s="85"/>
      <c r="OHY19" s="85"/>
      <c r="OHZ19" s="85"/>
      <c r="OIA19" s="85"/>
      <c r="OIB19" s="85"/>
      <c r="OIC19" s="85"/>
      <c r="OID19" s="85"/>
      <c r="OIE19" s="85"/>
      <c r="OIF19" s="85"/>
      <c r="OIG19" s="85"/>
      <c r="OIH19" s="85"/>
      <c r="OII19" s="85"/>
      <c r="OIJ19" s="85"/>
      <c r="OIK19" s="85"/>
      <c r="OIL19" s="85"/>
      <c r="OIM19" s="85"/>
      <c r="OIN19" s="85"/>
      <c r="OIO19" s="85"/>
      <c r="OIP19" s="85"/>
      <c r="OIQ19" s="85"/>
      <c r="OIR19" s="85"/>
      <c r="OIS19" s="85"/>
      <c r="OIT19" s="85"/>
      <c r="OIU19" s="85"/>
      <c r="OIV19" s="85"/>
      <c r="OIW19" s="85"/>
      <c r="OIX19" s="85"/>
      <c r="OIY19" s="85"/>
      <c r="OIZ19" s="85"/>
      <c r="OJA19" s="85"/>
      <c r="OJB19" s="85"/>
      <c r="OJC19" s="85"/>
      <c r="OJD19" s="85"/>
      <c r="OJE19" s="85"/>
      <c r="OJF19" s="85"/>
      <c r="OJG19" s="85"/>
      <c r="OJH19" s="85"/>
      <c r="OJI19" s="85"/>
      <c r="OJJ19" s="85"/>
      <c r="OJK19" s="85"/>
      <c r="OJL19" s="85"/>
      <c r="OJM19" s="85"/>
      <c r="OJN19" s="85"/>
      <c r="OJO19" s="85"/>
      <c r="OJP19" s="85"/>
      <c r="OJQ19" s="85"/>
      <c r="OJR19" s="85"/>
      <c r="OJS19" s="85"/>
      <c r="OJT19" s="85"/>
      <c r="OJU19" s="85"/>
      <c r="OJV19" s="85"/>
      <c r="OJW19" s="85"/>
      <c r="OJX19" s="85"/>
      <c r="OJY19" s="85"/>
      <c r="OJZ19" s="85"/>
      <c r="OKA19" s="85"/>
      <c r="OKB19" s="85"/>
      <c r="OKC19" s="85"/>
      <c r="OKD19" s="85"/>
      <c r="OKE19" s="85"/>
      <c r="OKF19" s="85"/>
      <c r="OKG19" s="85"/>
      <c r="OKH19" s="85"/>
      <c r="OKI19" s="85"/>
      <c r="OKJ19" s="85"/>
      <c r="OKK19" s="85"/>
      <c r="OKL19" s="85"/>
      <c r="OKM19" s="85"/>
      <c r="OKN19" s="85"/>
      <c r="OKO19" s="85"/>
      <c r="OKP19" s="85"/>
      <c r="OKQ19" s="85"/>
      <c r="OKR19" s="85"/>
      <c r="OKS19" s="85"/>
      <c r="OKT19" s="85"/>
      <c r="OKU19" s="85"/>
      <c r="OKV19" s="85"/>
      <c r="OKW19" s="85"/>
      <c r="OKX19" s="85"/>
      <c r="OKY19" s="85"/>
      <c r="OKZ19" s="85"/>
      <c r="OLA19" s="85"/>
      <c r="OLB19" s="85"/>
      <c r="OLC19" s="85"/>
      <c r="OLD19" s="85"/>
      <c r="OLE19" s="85"/>
      <c r="OLF19" s="85"/>
      <c r="OLG19" s="85"/>
      <c r="OLH19" s="85"/>
      <c r="OLI19" s="85"/>
      <c r="OLJ19" s="85"/>
      <c r="OLK19" s="85"/>
      <c r="OLL19" s="85"/>
      <c r="OLM19" s="85"/>
      <c r="OLN19" s="85"/>
      <c r="OLO19" s="85"/>
      <c r="OLP19" s="85"/>
      <c r="OLQ19" s="85"/>
      <c r="OLR19" s="85"/>
      <c r="OLS19" s="85"/>
      <c r="OLT19" s="85"/>
      <c r="OLU19" s="85"/>
      <c r="OLV19" s="85"/>
      <c r="OLW19" s="85"/>
      <c r="OLX19" s="85"/>
      <c r="OLY19" s="85"/>
      <c r="OLZ19" s="85"/>
      <c r="OMA19" s="85"/>
      <c r="OMB19" s="85"/>
      <c r="OMC19" s="85"/>
      <c r="OMD19" s="85"/>
      <c r="OME19" s="85"/>
      <c r="OMF19" s="85"/>
      <c r="OMG19" s="85"/>
      <c r="OMH19" s="85"/>
      <c r="OMI19" s="85"/>
      <c r="OMJ19" s="85"/>
      <c r="OMK19" s="85"/>
      <c r="OML19" s="85"/>
      <c r="OMM19" s="85"/>
      <c r="OMN19" s="85"/>
      <c r="OMO19" s="85"/>
      <c r="OMP19" s="85"/>
      <c r="OMQ19" s="85"/>
      <c r="OMR19" s="85"/>
      <c r="OMS19" s="85"/>
      <c r="OMT19" s="85"/>
      <c r="OMU19" s="85"/>
      <c r="OMV19" s="85"/>
      <c r="OMW19" s="85"/>
      <c r="OMX19" s="85"/>
      <c r="OMY19" s="85"/>
      <c r="OMZ19" s="85"/>
      <c r="ONA19" s="85"/>
      <c r="ONB19" s="85"/>
      <c r="ONC19" s="85"/>
      <c r="OND19" s="85"/>
      <c r="ONE19" s="85"/>
      <c r="ONF19" s="85"/>
      <c r="ONG19" s="85"/>
      <c r="ONH19" s="85"/>
      <c r="ONI19" s="85"/>
      <c r="ONJ19" s="85"/>
      <c r="ONK19" s="85"/>
      <c r="ONL19" s="85"/>
      <c r="ONM19" s="85"/>
      <c r="ONN19" s="85"/>
      <c r="ONO19" s="85"/>
      <c r="ONP19" s="85"/>
      <c r="ONQ19" s="85"/>
      <c r="ONR19" s="85"/>
      <c r="ONS19" s="85"/>
      <c r="ONT19" s="85"/>
      <c r="ONU19" s="85"/>
      <c r="ONV19" s="85"/>
      <c r="ONW19" s="85"/>
      <c r="ONX19" s="85"/>
      <c r="ONY19" s="85"/>
      <c r="ONZ19" s="85"/>
      <c r="OOA19" s="85"/>
      <c r="OOB19" s="85"/>
      <c r="OOC19" s="85"/>
      <c r="OOD19" s="85"/>
      <c r="OOE19" s="85"/>
      <c r="OOF19" s="85"/>
      <c r="OOG19" s="85"/>
      <c r="OOH19" s="85"/>
      <c r="OOI19" s="85"/>
      <c r="OOJ19" s="85"/>
      <c r="OOK19" s="85"/>
      <c r="OOL19" s="85"/>
      <c r="OOM19" s="85"/>
      <c r="OON19" s="85"/>
      <c r="OOO19" s="85"/>
      <c r="OOP19" s="85"/>
      <c r="OOQ19" s="85"/>
      <c r="OOR19" s="85"/>
      <c r="OOS19" s="85"/>
      <c r="OOT19" s="85"/>
      <c r="OOU19" s="85"/>
      <c r="OOV19" s="85"/>
      <c r="OOW19" s="85"/>
      <c r="OOX19" s="85"/>
      <c r="OOY19" s="85"/>
      <c r="OOZ19" s="85"/>
      <c r="OPA19" s="85"/>
      <c r="OPB19" s="85"/>
      <c r="OPC19" s="85"/>
      <c r="OPD19" s="85"/>
      <c r="OPE19" s="85"/>
      <c r="OPF19" s="85"/>
      <c r="OPG19" s="85"/>
      <c r="OPH19" s="85"/>
      <c r="OPI19" s="85"/>
      <c r="OPJ19" s="85"/>
      <c r="OPK19" s="85"/>
      <c r="OPL19" s="85"/>
      <c r="OPM19" s="85"/>
      <c r="OPN19" s="85"/>
      <c r="OPO19" s="85"/>
      <c r="OPP19" s="85"/>
      <c r="OPQ19" s="85"/>
      <c r="OPR19" s="85"/>
      <c r="OPS19" s="85"/>
      <c r="OPT19" s="85"/>
      <c r="OPU19" s="85"/>
      <c r="OPV19" s="85"/>
      <c r="OPW19" s="85"/>
      <c r="OPX19" s="85"/>
      <c r="OPY19" s="85"/>
      <c r="OPZ19" s="85"/>
      <c r="OQA19" s="85"/>
      <c r="OQB19" s="85"/>
      <c r="OQC19" s="85"/>
      <c r="OQD19" s="85"/>
      <c r="OQE19" s="85"/>
      <c r="OQF19" s="85"/>
      <c r="OQG19" s="85"/>
      <c r="OQH19" s="85"/>
      <c r="OQI19" s="85"/>
      <c r="OQJ19" s="85"/>
      <c r="OQK19" s="85"/>
      <c r="OQL19" s="85"/>
      <c r="OQM19" s="85"/>
      <c r="OQN19" s="85"/>
      <c r="OQO19" s="85"/>
      <c r="OQP19" s="85"/>
      <c r="OQQ19" s="85"/>
      <c r="OQR19" s="85"/>
      <c r="OQS19" s="85"/>
      <c r="OQT19" s="85"/>
      <c r="OQU19" s="85"/>
      <c r="OQV19" s="85"/>
      <c r="OQW19" s="85"/>
      <c r="OQX19" s="85"/>
      <c r="OQY19" s="85"/>
      <c r="OQZ19" s="85"/>
      <c r="ORA19" s="85"/>
      <c r="ORB19" s="85"/>
      <c r="ORC19" s="85"/>
      <c r="ORD19" s="85"/>
      <c r="ORE19" s="85"/>
      <c r="ORF19" s="85"/>
      <c r="ORG19" s="85"/>
      <c r="ORH19" s="85"/>
      <c r="ORI19" s="85"/>
      <c r="ORJ19" s="85"/>
      <c r="ORK19" s="85"/>
      <c r="ORL19" s="85"/>
      <c r="ORM19" s="85"/>
      <c r="ORN19" s="85"/>
      <c r="ORO19" s="85"/>
      <c r="ORP19" s="85"/>
      <c r="ORQ19" s="85"/>
      <c r="ORR19" s="85"/>
      <c r="ORS19" s="85"/>
      <c r="ORT19" s="85"/>
      <c r="ORU19" s="85"/>
      <c r="ORV19" s="85"/>
      <c r="ORW19" s="85"/>
      <c r="ORX19" s="85"/>
      <c r="ORY19" s="85"/>
      <c r="ORZ19" s="85"/>
      <c r="OSA19" s="85"/>
      <c r="OSB19" s="85"/>
      <c r="OSC19" s="85"/>
      <c r="OSD19" s="85"/>
      <c r="OSE19" s="85"/>
      <c r="OSF19" s="85"/>
      <c r="OSG19" s="85"/>
      <c r="OSH19" s="85"/>
      <c r="OSI19" s="85"/>
      <c r="OSJ19" s="85"/>
      <c r="OSK19" s="85"/>
      <c r="OSL19" s="85"/>
      <c r="OSM19" s="85"/>
      <c r="OSN19" s="85"/>
      <c r="OSO19" s="85"/>
      <c r="OSP19" s="85"/>
      <c r="OSQ19" s="85"/>
      <c r="OSR19" s="85"/>
      <c r="OSS19" s="85"/>
      <c r="OST19" s="85"/>
      <c r="OSU19" s="85"/>
      <c r="OSV19" s="85"/>
      <c r="OSW19" s="85"/>
      <c r="OSX19" s="85"/>
      <c r="OSY19" s="85"/>
      <c r="OSZ19" s="85"/>
      <c r="OTA19" s="85"/>
      <c r="OTB19" s="85"/>
      <c r="OTC19" s="85"/>
      <c r="OTD19" s="85"/>
      <c r="OTE19" s="85"/>
      <c r="OTF19" s="85"/>
      <c r="OTG19" s="85"/>
      <c r="OTH19" s="85"/>
      <c r="OTI19" s="85"/>
      <c r="OTJ19" s="85"/>
      <c r="OTK19" s="85"/>
      <c r="OTL19" s="85"/>
      <c r="OTM19" s="85"/>
      <c r="OTN19" s="85"/>
      <c r="OTO19" s="85"/>
      <c r="OTP19" s="85"/>
      <c r="OTQ19" s="85"/>
      <c r="OTR19" s="85"/>
      <c r="OTS19" s="85"/>
      <c r="OTT19" s="85"/>
      <c r="OTU19" s="85"/>
      <c r="OTV19" s="85"/>
      <c r="OTW19" s="85"/>
      <c r="OTX19" s="85"/>
      <c r="OTY19" s="85"/>
      <c r="OTZ19" s="85"/>
      <c r="OUA19" s="85"/>
      <c r="OUB19" s="85"/>
      <c r="OUC19" s="85"/>
      <c r="OUD19" s="85"/>
      <c r="OUE19" s="85"/>
      <c r="OUF19" s="85"/>
      <c r="OUG19" s="85"/>
      <c r="OUH19" s="85"/>
      <c r="OUI19" s="85"/>
      <c r="OUJ19" s="85"/>
      <c r="OUK19" s="85"/>
      <c r="OUL19" s="85"/>
      <c r="OUM19" s="85"/>
      <c r="OUN19" s="85"/>
      <c r="OUO19" s="85"/>
      <c r="OUP19" s="85"/>
      <c r="OUQ19" s="85"/>
      <c r="OUR19" s="85"/>
      <c r="OUS19" s="85"/>
      <c r="OUT19" s="85"/>
      <c r="OUU19" s="85"/>
      <c r="OUV19" s="85"/>
      <c r="OUW19" s="85"/>
      <c r="OUX19" s="85"/>
      <c r="OUY19" s="85"/>
      <c r="OUZ19" s="85"/>
      <c r="OVA19" s="85"/>
      <c r="OVB19" s="85"/>
      <c r="OVC19" s="85"/>
      <c r="OVD19" s="85"/>
      <c r="OVE19" s="85"/>
      <c r="OVF19" s="85"/>
      <c r="OVG19" s="85"/>
      <c r="OVH19" s="85"/>
      <c r="OVI19" s="85"/>
      <c r="OVJ19" s="85"/>
      <c r="OVK19" s="85"/>
      <c r="OVL19" s="85"/>
      <c r="OVM19" s="85"/>
      <c r="OVN19" s="85"/>
      <c r="OVO19" s="85"/>
      <c r="OVP19" s="85"/>
      <c r="OVQ19" s="85"/>
      <c r="OVR19" s="85"/>
      <c r="OVS19" s="85"/>
      <c r="OVT19" s="85"/>
      <c r="OVU19" s="85"/>
      <c r="OVV19" s="85"/>
      <c r="OVW19" s="85"/>
      <c r="OVX19" s="85"/>
      <c r="OVY19" s="85"/>
      <c r="OVZ19" s="85"/>
      <c r="OWA19" s="85"/>
      <c r="OWB19" s="85"/>
      <c r="OWC19" s="85"/>
      <c r="OWD19" s="85"/>
      <c r="OWE19" s="85"/>
      <c r="OWF19" s="85"/>
      <c r="OWG19" s="85"/>
      <c r="OWH19" s="85"/>
      <c r="OWI19" s="85"/>
      <c r="OWJ19" s="85"/>
      <c r="OWK19" s="85"/>
      <c r="OWL19" s="85"/>
      <c r="OWM19" s="85"/>
      <c r="OWN19" s="85"/>
      <c r="OWO19" s="85"/>
      <c r="OWP19" s="85"/>
      <c r="OWQ19" s="85"/>
      <c r="OWR19" s="85"/>
      <c r="OWS19" s="85"/>
      <c r="OWT19" s="85"/>
      <c r="OWU19" s="85"/>
      <c r="OWV19" s="85"/>
      <c r="OWW19" s="85"/>
      <c r="OWX19" s="85"/>
      <c r="OWY19" s="85"/>
      <c r="OWZ19" s="85"/>
      <c r="OXA19" s="85"/>
      <c r="OXB19" s="85"/>
      <c r="OXC19" s="85"/>
      <c r="OXD19" s="85"/>
      <c r="OXE19" s="85"/>
      <c r="OXF19" s="85"/>
      <c r="OXG19" s="85"/>
      <c r="OXH19" s="85"/>
      <c r="OXI19" s="85"/>
      <c r="OXJ19" s="85"/>
      <c r="OXK19" s="85"/>
      <c r="OXL19" s="85"/>
      <c r="OXM19" s="85"/>
      <c r="OXN19" s="85"/>
      <c r="OXO19" s="85"/>
      <c r="OXP19" s="85"/>
      <c r="OXQ19" s="85"/>
      <c r="OXR19" s="85"/>
      <c r="OXS19" s="85"/>
      <c r="OXT19" s="85"/>
      <c r="OXU19" s="85"/>
      <c r="OXV19" s="85"/>
      <c r="OXW19" s="85"/>
      <c r="OXX19" s="85"/>
      <c r="OXY19" s="85"/>
      <c r="OXZ19" s="85"/>
      <c r="OYA19" s="85"/>
      <c r="OYB19" s="85"/>
      <c r="OYC19" s="85"/>
      <c r="OYD19" s="85"/>
      <c r="OYE19" s="85"/>
      <c r="OYF19" s="85"/>
      <c r="OYG19" s="85"/>
      <c r="OYH19" s="85"/>
      <c r="OYI19" s="85"/>
      <c r="OYJ19" s="85"/>
      <c r="OYK19" s="85"/>
      <c r="OYL19" s="85"/>
      <c r="OYM19" s="85"/>
      <c r="OYN19" s="85"/>
      <c r="OYO19" s="85"/>
      <c r="OYP19" s="85"/>
      <c r="OYQ19" s="85"/>
      <c r="OYR19" s="85"/>
      <c r="OYS19" s="85"/>
      <c r="OYT19" s="85"/>
      <c r="OYU19" s="85"/>
      <c r="OYV19" s="85"/>
      <c r="OYW19" s="85"/>
      <c r="OYX19" s="85"/>
      <c r="OYY19" s="85"/>
      <c r="OYZ19" s="85"/>
      <c r="OZA19" s="85"/>
      <c r="OZB19" s="85"/>
      <c r="OZC19" s="85"/>
      <c r="OZD19" s="85"/>
      <c r="OZE19" s="85"/>
      <c r="OZF19" s="85"/>
      <c r="OZG19" s="85"/>
      <c r="OZH19" s="85"/>
      <c r="OZI19" s="85"/>
      <c r="OZJ19" s="85"/>
      <c r="OZK19" s="85"/>
      <c r="OZL19" s="85"/>
      <c r="OZM19" s="85"/>
      <c r="OZN19" s="85"/>
      <c r="OZO19" s="85"/>
      <c r="OZP19" s="85"/>
      <c r="OZQ19" s="85"/>
      <c r="OZR19" s="85"/>
      <c r="OZS19" s="85"/>
      <c r="OZT19" s="85"/>
      <c r="OZU19" s="85"/>
      <c r="OZV19" s="85"/>
      <c r="OZW19" s="85"/>
      <c r="OZX19" s="85"/>
      <c r="OZY19" s="85"/>
      <c r="OZZ19" s="85"/>
      <c r="PAA19" s="85"/>
      <c r="PAB19" s="85"/>
      <c r="PAC19" s="85"/>
      <c r="PAD19" s="85"/>
      <c r="PAE19" s="85"/>
      <c r="PAF19" s="85"/>
      <c r="PAG19" s="85"/>
      <c r="PAH19" s="85"/>
      <c r="PAI19" s="85"/>
      <c r="PAJ19" s="85"/>
      <c r="PAK19" s="85"/>
      <c r="PAL19" s="85"/>
      <c r="PAM19" s="85"/>
      <c r="PAN19" s="85"/>
      <c r="PAO19" s="85"/>
      <c r="PAP19" s="85"/>
      <c r="PAQ19" s="85"/>
      <c r="PAR19" s="85"/>
      <c r="PAS19" s="85"/>
      <c r="PAT19" s="85"/>
      <c r="PAU19" s="85"/>
      <c r="PAV19" s="85"/>
      <c r="PAW19" s="85"/>
      <c r="PAX19" s="85"/>
      <c r="PAY19" s="85"/>
      <c r="PAZ19" s="85"/>
      <c r="PBA19" s="85"/>
      <c r="PBB19" s="85"/>
      <c r="PBC19" s="85"/>
      <c r="PBD19" s="85"/>
      <c r="PBE19" s="85"/>
      <c r="PBF19" s="85"/>
      <c r="PBG19" s="85"/>
      <c r="PBH19" s="85"/>
      <c r="PBI19" s="85"/>
      <c r="PBJ19" s="85"/>
      <c r="PBK19" s="85"/>
      <c r="PBL19" s="85"/>
      <c r="PBM19" s="85"/>
      <c r="PBN19" s="85"/>
      <c r="PBO19" s="85"/>
      <c r="PBP19" s="85"/>
      <c r="PBQ19" s="85"/>
      <c r="PBR19" s="85"/>
      <c r="PBS19" s="85"/>
      <c r="PBT19" s="85"/>
      <c r="PBU19" s="85"/>
      <c r="PBV19" s="85"/>
      <c r="PBW19" s="85"/>
      <c r="PBX19" s="85"/>
      <c r="PBY19" s="85"/>
      <c r="PBZ19" s="85"/>
      <c r="PCA19" s="85"/>
      <c r="PCB19" s="85"/>
      <c r="PCC19" s="85"/>
      <c r="PCD19" s="85"/>
      <c r="PCE19" s="85"/>
      <c r="PCF19" s="85"/>
      <c r="PCG19" s="85"/>
      <c r="PCH19" s="85"/>
      <c r="PCI19" s="85"/>
      <c r="PCJ19" s="85"/>
      <c r="PCK19" s="85"/>
      <c r="PCL19" s="85"/>
      <c r="PCM19" s="85"/>
      <c r="PCN19" s="85"/>
      <c r="PCO19" s="85"/>
      <c r="PCP19" s="85"/>
      <c r="PCQ19" s="85"/>
      <c r="PCR19" s="85"/>
      <c r="PCS19" s="85"/>
      <c r="PCT19" s="85"/>
      <c r="PCU19" s="85"/>
      <c r="PCV19" s="85"/>
      <c r="PCW19" s="85"/>
      <c r="PCX19" s="85"/>
      <c r="PCY19" s="85"/>
      <c r="PCZ19" s="85"/>
      <c r="PDA19" s="85"/>
      <c r="PDB19" s="85"/>
      <c r="PDC19" s="85"/>
      <c r="PDD19" s="85"/>
      <c r="PDE19" s="85"/>
      <c r="PDF19" s="85"/>
      <c r="PDG19" s="85"/>
      <c r="PDH19" s="85"/>
      <c r="PDI19" s="85"/>
      <c r="PDJ19" s="85"/>
      <c r="PDK19" s="85"/>
      <c r="PDL19" s="85"/>
      <c r="PDM19" s="85"/>
      <c r="PDN19" s="85"/>
      <c r="PDO19" s="85"/>
      <c r="PDP19" s="85"/>
      <c r="PDQ19" s="85"/>
      <c r="PDR19" s="85"/>
      <c r="PDS19" s="85"/>
      <c r="PDT19" s="85"/>
      <c r="PDU19" s="85"/>
      <c r="PDV19" s="85"/>
      <c r="PDW19" s="85"/>
      <c r="PDX19" s="85"/>
      <c r="PDY19" s="85"/>
      <c r="PDZ19" s="85"/>
      <c r="PEA19" s="85"/>
      <c r="PEB19" s="85"/>
      <c r="PEC19" s="85"/>
      <c r="PED19" s="85"/>
      <c r="PEE19" s="85"/>
      <c r="PEF19" s="85"/>
      <c r="PEG19" s="85"/>
      <c r="PEH19" s="85"/>
      <c r="PEI19" s="85"/>
      <c r="PEJ19" s="85"/>
      <c r="PEK19" s="85"/>
      <c r="PEL19" s="85"/>
      <c r="PEM19" s="85"/>
      <c r="PEN19" s="85"/>
      <c r="PEO19" s="85"/>
      <c r="PEP19" s="85"/>
      <c r="PEQ19" s="85"/>
      <c r="PER19" s="85"/>
      <c r="PES19" s="85"/>
      <c r="PET19" s="85"/>
      <c r="PEU19" s="85"/>
      <c r="PEV19" s="85"/>
      <c r="PEW19" s="85"/>
      <c r="PEX19" s="85"/>
      <c r="PEY19" s="85"/>
      <c r="PEZ19" s="85"/>
      <c r="PFA19" s="85"/>
      <c r="PFB19" s="85"/>
      <c r="PFC19" s="85"/>
      <c r="PFD19" s="85"/>
      <c r="PFE19" s="85"/>
      <c r="PFF19" s="85"/>
      <c r="PFG19" s="85"/>
      <c r="PFH19" s="85"/>
      <c r="PFI19" s="85"/>
      <c r="PFJ19" s="85"/>
      <c r="PFK19" s="85"/>
      <c r="PFL19" s="85"/>
      <c r="PFM19" s="85"/>
      <c r="PFN19" s="85"/>
      <c r="PFO19" s="85"/>
      <c r="PFP19" s="85"/>
      <c r="PFQ19" s="85"/>
      <c r="PFR19" s="85"/>
      <c r="PFS19" s="85"/>
      <c r="PFT19" s="85"/>
      <c r="PFU19" s="85"/>
      <c r="PFV19" s="85"/>
      <c r="PFW19" s="85"/>
      <c r="PFX19" s="85"/>
      <c r="PFY19" s="85"/>
      <c r="PFZ19" s="85"/>
      <c r="PGA19" s="85"/>
      <c r="PGB19" s="85"/>
      <c r="PGC19" s="85"/>
      <c r="PGD19" s="85"/>
      <c r="PGE19" s="85"/>
      <c r="PGF19" s="85"/>
      <c r="PGG19" s="85"/>
      <c r="PGH19" s="85"/>
      <c r="PGI19" s="85"/>
      <c r="PGJ19" s="85"/>
      <c r="PGK19" s="85"/>
      <c r="PGL19" s="85"/>
      <c r="PGM19" s="85"/>
      <c r="PGN19" s="85"/>
      <c r="PGO19" s="85"/>
      <c r="PGP19" s="85"/>
      <c r="PGQ19" s="85"/>
      <c r="PGR19" s="85"/>
      <c r="PGS19" s="85"/>
      <c r="PGT19" s="85"/>
      <c r="PGU19" s="85"/>
      <c r="PGV19" s="85"/>
      <c r="PGW19" s="85"/>
      <c r="PGX19" s="85"/>
      <c r="PGY19" s="85"/>
      <c r="PGZ19" s="85"/>
      <c r="PHA19" s="85"/>
      <c r="PHB19" s="85"/>
      <c r="PHC19" s="85"/>
      <c r="PHD19" s="85"/>
      <c r="PHE19" s="85"/>
      <c r="PHF19" s="85"/>
      <c r="PHG19" s="85"/>
      <c r="PHH19" s="85"/>
      <c r="PHI19" s="85"/>
      <c r="PHJ19" s="85"/>
      <c r="PHK19" s="85"/>
      <c r="PHL19" s="85"/>
      <c r="PHM19" s="85"/>
      <c r="PHN19" s="85"/>
      <c r="PHO19" s="85"/>
      <c r="PHP19" s="85"/>
      <c r="PHQ19" s="85"/>
      <c r="PHR19" s="85"/>
      <c r="PHS19" s="85"/>
      <c r="PHT19" s="85"/>
      <c r="PHU19" s="85"/>
      <c r="PHV19" s="85"/>
      <c r="PHW19" s="85"/>
      <c r="PHX19" s="85"/>
      <c r="PHY19" s="85"/>
      <c r="PHZ19" s="85"/>
      <c r="PIA19" s="85"/>
      <c r="PIB19" s="85"/>
      <c r="PIC19" s="85"/>
      <c r="PID19" s="85"/>
      <c r="PIE19" s="85"/>
      <c r="PIF19" s="85"/>
      <c r="PIG19" s="85"/>
      <c r="PIH19" s="85"/>
      <c r="PII19" s="85"/>
      <c r="PIJ19" s="85"/>
      <c r="PIK19" s="85"/>
      <c r="PIL19" s="85"/>
      <c r="PIM19" s="85"/>
      <c r="PIN19" s="85"/>
      <c r="PIO19" s="85"/>
      <c r="PIP19" s="85"/>
      <c r="PIQ19" s="85"/>
      <c r="PIR19" s="85"/>
      <c r="PIS19" s="85"/>
      <c r="PIT19" s="85"/>
      <c r="PIU19" s="85"/>
      <c r="PIV19" s="85"/>
      <c r="PIW19" s="85"/>
      <c r="PIX19" s="85"/>
      <c r="PIY19" s="85"/>
      <c r="PIZ19" s="85"/>
      <c r="PJA19" s="85"/>
      <c r="PJB19" s="85"/>
      <c r="PJC19" s="85"/>
      <c r="PJD19" s="85"/>
      <c r="PJE19" s="85"/>
      <c r="PJF19" s="85"/>
      <c r="PJG19" s="85"/>
      <c r="PJH19" s="85"/>
      <c r="PJI19" s="85"/>
      <c r="PJJ19" s="85"/>
      <c r="PJK19" s="85"/>
      <c r="PJL19" s="85"/>
      <c r="PJM19" s="85"/>
      <c r="PJN19" s="85"/>
      <c r="PJO19" s="85"/>
      <c r="PJP19" s="85"/>
      <c r="PJQ19" s="85"/>
      <c r="PJR19" s="85"/>
      <c r="PJS19" s="85"/>
      <c r="PJT19" s="85"/>
      <c r="PJU19" s="85"/>
      <c r="PJV19" s="85"/>
      <c r="PJW19" s="85"/>
      <c r="PJX19" s="85"/>
      <c r="PJY19" s="85"/>
      <c r="PJZ19" s="85"/>
      <c r="PKA19" s="85"/>
      <c r="PKB19" s="85"/>
      <c r="PKC19" s="85"/>
      <c r="PKD19" s="85"/>
      <c r="PKE19" s="85"/>
      <c r="PKF19" s="85"/>
      <c r="PKG19" s="85"/>
      <c r="PKH19" s="85"/>
      <c r="PKI19" s="85"/>
      <c r="PKJ19" s="85"/>
      <c r="PKK19" s="85"/>
      <c r="PKL19" s="85"/>
      <c r="PKM19" s="85"/>
      <c r="PKN19" s="85"/>
      <c r="PKO19" s="85"/>
      <c r="PKP19" s="85"/>
      <c r="PKQ19" s="85"/>
      <c r="PKR19" s="85"/>
      <c r="PKS19" s="85"/>
      <c r="PKT19" s="85"/>
      <c r="PKU19" s="85"/>
      <c r="PKV19" s="85"/>
      <c r="PKW19" s="85"/>
      <c r="PKX19" s="85"/>
      <c r="PKY19" s="85"/>
      <c r="PKZ19" s="85"/>
      <c r="PLA19" s="85"/>
      <c r="PLB19" s="85"/>
      <c r="PLC19" s="85"/>
      <c r="PLD19" s="85"/>
      <c r="PLE19" s="85"/>
      <c r="PLF19" s="85"/>
      <c r="PLG19" s="85"/>
      <c r="PLH19" s="85"/>
      <c r="PLI19" s="85"/>
      <c r="PLJ19" s="85"/>
      <c r="PLK19" s="85"/>
      <c r="PLL19" s="85"/>
      <c r="PLM19" s="85"/>
      <c r="PLN19" s="85"/>
      <c r="PLO19" s="85"/>
      <c r="PLP19" s="85"/>
      <c r="PLQ19" s="85"/>
      <c r="PLR19" s="85"/>
      <c r="PLS19" s="85"/>
      <c r="PLT19" s="85"/>
      <c r="PLU19" s="85"/>
      <c r="PLV19" s="85"/>
      <c r="PLW19" s="85"/>
      <c r="PLX19" s="85"/>
      <c r="PLY19" s="85"/>
      <c r="PLZ19" s="85"/>
      <c r="PMA19" s="85"/>
      <c r="PMB19" s="85"/>
      <c r="PMC19" s="85"/>
      <c r="PMD19" s="85"/>
      <c r="PME19" s="85"/>
      <c r="PMF19" s="85"/>
      <c r="PMG19" s="85"/>
      <c r="PMH19" s="85"/>
      <c r="PMI19" s="85"/>
      <c r="PMJ19" s="85"/>
      <c r="PMK19" s="85"/>
      <c r="PML19" s="85"/>
      <c r="PMM19" s="85"/>
      <c r="PMN19" s="85"/>
      <c r="PMO19" s="85"/>
      <c r="PMP19" s="85"/>
      <c r="PMQ19" s="85"/>
      <c r="PMR19" s="85"/>
      <c r="PMS19" s="85"/>
      <c r="PMT19" s="85"/>
      <c r="PMU19" s="85"/>
      <c r="PMV19" s="85"/>
      <c r="PMW19" s="85"/>
      <c r="PMX19" s="85"/>
      <c r="PMY19" s="85"/>
      <c r="PMZ19" s="85"/>
      <c r="PNA19" s="85"/>
      <c r="PNB19" s="85"/>
      <c r="PNC19" s="85"/>
      <c r="PND19" s="85"/>
      <c r="PNE19" s="85"/>
      <c r="PNF19" s="85"/>
      <c r="PNG19" s="85"/>
      <c r="PNH19" s="85"/>
      <c r="PNI19" s="85"/>
      <c r="PNJ19" s="85"/>
      <c r="PNK19" s="85"/>
      <c r="PNL19" s="85"/>
      <c r="PNM19" s="85"/>
      <c r="PNN19" s="85"/>
      <c r="PNO19" s="85"/>
      <c r="PNP19" s="85"/>
      <c r="PNQ19" s="85"/>
      <c r="PNR19" s="85"/>
      <c r="PNS19" s="85"/>
      <c r="PNT19" s="85"/>
      <c r="PNU19" s="85"/>
      <c r="PNV19" s="85"/>
      <c r="PNW19" s="85"/>
      <c r="PNX19" s="85"/>
      <c r="PNY19" s="85"/>
      <c r="PNZ19" s="85"/>
      <c r="POA19" s="85"/>
      <c r="POB19" s="85"/>
      <c r="POC19" s="85"/>
      <c r="POD19" s="85"/>
      <c r="POE19" s="85"/>
      <c r="POF19" s="85"/>
      <c r="POG19" s="85"/>
      <c r="POH19" s="85"/>
      <c r="POI19" s="85"/>
      <c r="POJ19" s="85"/>
      <c r="POK19" s="85"/>
      <c r="POL19" s="85"/>
      <c r="POM19" s="85"/>
      <c r="PON19" s="85"/>
      <c r="POO19" s="85"/>
      <c r="POP19" s="85"/>
      <c r="POQ19" s="85"/>
      <c r="POR19" s="85"/>
      <c r="POS19" s="85"/>
      <c r="POT19" s="85"/>
      <c r="POU19" s="85"/>
      <c r="POV19" s="85"/>
      <c r="POW19" s="85"/>
      <c r="POX19" s="85"/>
      <c r="POY19" s="85"/>
      <c r="POZ19" s="85"/>
      <c r="PPA19" s="85"/>
      <c r="PPB19" s="85"/>
      <c r="PPC19" s="85"/>
      <c r="PPD19" s="85"/>
      <c r="PPE19" s="85"/>
      <c r="PPF19" s="85"/>
      <c r="PPG19" s="85"/>
      <c r="PPH19" s="85"/>
      <c r="PPI19" s="85"/>
      <c r="PPJ19" s="85"/>
      <c r="PPK19" s="85"/>
      <c r="PPL19" s="85"/>
      <c r="PPM19" s="85"/>
      <c r="PPN19" s="85"/>
      <c r="PPO19" s="85"/>
      <c r="PPP19" s="85"/>
      <c r="PPQ19" s="85"/>
      <c r="PPR19" s="85"/>
      <c r="PPS19" s="85"/>
      <c r="PPT19" s="85"/>
      <c r="PPU19" s="85"/>
      <c r="PPV19" s="85"/>
      <c r="PPW19" s="85"/>
      <c r="PPX19" s="85"/>
      <c r="PPY19" s="85"/>
      <c r="PPZ19" s="85"/>
      <c r="PQA19" s="85"/>
      <c r="PQB19" s="85"/>
      <c r="PQC19" s="85"/>
      <c r="PQD19" s="85"/>
      <c r="PQE19" s="85"/>
      <c r="PQF19" s="85"/>
      <c r="PQG19" s="85"/>
      <c r="PQH19" s="85"/>
      <c r="PQI19" s="85"/>
      <c r="PQJ19" s="85"/>
      <c r="PQK19" s="85"/>
      <c r="PQL19" s="85"/>
      <c r="PQM19" s="85"/>
      <c r="PQN19" s="85"/>
      <c r="PQO19" s="85"/>
      <c r="PQP19" s="85"/>
      <c r="PQQ19" s="85"/>
      <c r="PQR19" s="85"/>
      <c r="PQS19" s="85"/>
      <c r="PQT19" s="85"/>
      <c r="PQU19" s="85"/>
      <c r="PQV19" s="85"/>
      <c r="PQW19" s="85"/>
      <c r="PQX19" s="85"/>
      <c r="PQY19" s="85"/>
      <c r="PQZ19" s="85"/>
      <c r="PRA19" s="85"/>
      <c r="PRB19" s="85"/>
      <c r="PRC19" s="85"/>
      <c r="PRD19" s="85"/>
      <c r="PRE19" s="85"/>
      <c r="PRF19" s="85"/>
      <c r="PRG19" s="85"/>
      <c r="PRH19" s="85"/>
      <c r="PRI19" s="85"/>
      <c r="PRJ19" s="85"/>
      <c r="PRK19" s="85"/>
      <c r="PRL19" s="85"/>
      <c r="PRM19" s="85"/>
      <c r="PRN19" s="85"/>
      <c r="PRO19" s="85"/>
      <c r="PRP19" s="85"/>
      <c r="PRQ19" s="85"/>
      <c r="PRR19" s="85"/>
      <c r="PRS19" s="85"/>
      <c r="PRT19" s="85"/>
      <c r="PRU19" s="85"/>
      <c r="PRV19" s="85"/>
      <c r="PRW19" s="85"/>
      <c r="PRX19" s="85"/>
      <c r="PRY19" s="85"/>
      <c r="PRZ19" s="85"/>
      <c r="PSA19" s="85"/>
      <c r="PSB19" s="85"/>
      <c r="PSC19" s="85"/>
      <c r="PSD19" s="85"/>
      <c r="PSE19" s="85"/>
      <c r="PSF19" s="85"/>
      <c r="PSG19" s="85"/>
      <c r="PSH19" s="85"/>
      <c r="PSI19" s="85"/>
      <c r="PSJ19" s="85"/>
      <c r="PSK19" s="85"/>
      <c r="PSL19" s="85"/>
      <c r="PSM19" s="85"/>
      <c r="PSN19" s="85"/>
      <c r="PSO19" s="85"/>
      <c r="PSP19" s="85"/>
      <c r="PSQ19" s="85"/>
      <c r="PSR19" s="85"/>
      <c r="PSS19" s="85"/>
      <c r="PST19" s="85"/>
      <c r="PSU19" s="85"/>
      <c r="PSV19" s="85"/>
      <c r="PSW19" s="85"/>
      <c r="PSX19" s="85"/>
      <c r="PSY19" s="85"/>
      <c r="PSZ19" s="85"/>
      <c r="PTA19" s="85"/>
      <c r="PTB19" s="85"/>
      <c r="PTC19" s="85"/>
      <c r="PTD19" s="85"/>
      <c r="PTE19" s="85"/>
      <c r="PTF19" s="85"/>
      <c r="PTG19" s="85"/>
      <c r="PTH19" s="85"/>
      <c r="PTI19" s="85"/>
      <c r="PTJ19" s="85"/>
      <c r="PTK19" s="85"/>
      <c r="PTL19" s="85"/>
      <c r="PTM19" s="85"/>
      <c r="PTN19" s="85"/>
      <c r="PTO19" s="85"/>
      <c r="PTP19" s="85"/>
      <c r="PTQ19" s="85"/>
      <c r="PTR19" s="85"/>
      <c r="PTS19" s="85"/>
      <c r="PTT19" s="85"/>
      <c r="PTU19" s="85"/>
      <c r="PTV19" s="85"/>
      <c r="PTW19" s="85"/>
      <c r="PTX19" s="85"/>
      <c r="PTY19" s="85"/>
      <c r="PTZ19" s="85"/>
      <c r="PUA19" s="85"/>
      <c r="PUB19" s="85"/>
      <c r="PUC19" s="85"/>
      <c r="PUD19" s="85"/>
      <c r="PUE19" s="85"/>
      <c r="PUF19" s="85"/>
      <c r="PUG19" s="85"/>
      <c r="PUH19" s="85"/>
      <c r="PUI19" s="85"/>
      <c r="PUJ19" s="85"/>
      <c r="PUK19" s="85"/>
      <c r="PUL19" s="85"/>
      <c r="PUM19" s="85"/>
      <c r="PUN19" s="85"/>
      <c r="PUO19" s="85"/>
      <c r="PUP19" s="85"/>
      <c r="PUQ19" s="85"/>
      <c r="PUR19" s="85"/>
      <c r="PUS19" s="85"/>
      <c r="PUT19" s="85"/>
      <c r="PUU19" s="85"/>
      <c r="PUV19" s="85"/>
      <c r="PUW19" s="85"/>
      <c r="PUX19" s="85"/>
      <c r="PUY19" s="85"/>
      <c r="PUZ19" s="85"/>
      <c r="PVA19" s="85"/>
      <c r="PVB19" s="85"/>
      <c r="PVC19" s="85"/>
      <c r="PVD19" s="85"/>
      <c r="PVE19" s="85"/>
      <c r="PVF19" s="85"/>
      <c r="PVG19" s="85"/>
      <c r="PVH19" s="85"/>
      <c r="PVI19" s="85"/>
      <c r="PVJ19" s="85"/>
      <c r="PVK19" s="85"/>
      <c r="PVL19" s="85"/>
      <c r="PVM19" s="85"/>
      <c r="PVN19" s="85"/>
      <c r="PVO19" s="85"/>
      <c r="PVP19" s="85"/>
      <c r="PVQ19" s="85"/>
      <c r="PVR19" s="85"/>
      <c r="PVS19" s="85"/>
      <c r="PVT19" s="85"/>
      <c r="PVU19" s="85"/>
      <c r="PVV19" s="85"/>
      <c r="PVW19" s="85"/>
      <c r="PVX19" s="85"/>
      <c r="PVY19" s="85"/>
      <c r="PVZ19" s="85"/>
      <c r="PWA19" s="85"/>
      <c r="PWB19" s="85"/>
      <c r="PWC19" s="85"/>
      <c r="PWD19" s="85"/>
      <c r="PWE19" s="85"/>
      <c r="PWF19" s="85"/>
      <c r="PWG19" s="85"/>
      <c r="PWH19" s="85"/>
      <c r="PWI19" s="85"/>
      <c r="PWJ19" s="85"/>
      <c r="PWK19" s="85"/>
      <c r="PWL19" s="85"/>
      <c r="PWM19" s="85"/>
      <c r="PWN19" s="85"/>
      <c r="PWO19" s="85"/>
      <c r="PWP19" s="85"/>
      <c r="PWQ19" s="85"/>
      <c r="PWR19" s="85"/>
      <c r="PWS19" s="85"/>
      <c r="PWT19" s="85"/>
      <c r="PWU19" s="85"/>
      <c r="PWV19" s="85"/>
      <c r="PWW19" s="85"/>
      <c r="PWX19" s="85"/>
      <c r="PWY19" s="85"/>
      <c r="PWZ19" s="85"/>
      <c r="PXA19" s="85"/>
      <c r="PXB19" s="85"/>
      <c r="PXC19" s="85"/>
      <c r="PXD19" s="85"/>
      <c r="PXE19" s="85"/>
      <c r="PXF19" s="85"/>
      <c r="PXG19" s="85"/>
      <c r="PXH19" s="85"/>
      <c r="PXI19" s="85"/>
      <c r="PXJ19" s="85"/>
      <c r="PXK19" s="85"/>
      <c r="PXL19" s="85"/>
      <c r="PXM19" s="85"/>
      <c r="PXN19" s="85"/>
      <c r="PXO19" s="85"/>
      <c r="PXP19" s="85"/>
      <c r="PXQ19" s="85"/>
      <c r="PXR19" s="85"/>
      <c r="PXS19" s="85"/>
      <c r="PXT19" s="85"/>
      <c r="PXU19" s="85"/>
      <c r="PXV19" s="85"/>
      <c r="PXW19" s="85"/>
      <c r="PXX19" s="85"/>
      <c r="PXY19" s="85"/>
      <c r="PXZ19" s="85"/>
      <c r="PYA19" s="85"/>
      <c r="PYB19" s="85"/>
      <c r="PYC19" s="85"/>
      <c r="PYD19" s="85"/>
      <c r="PYE19" s="85"/>
      <c r="PYF19" s="85"/>
      <c r="PYG19" s="85"/>
      <c r="PYH19" s="85"/>
      <c r="PYI19" s="85"/>
      <c r="PYJ19" s="85"/>
      <c r="PYK19" s="85"/>
      <c r="PYL19" s="85"/>
      <c r="PYM19" s="85"/>
      <c r="PYN19" s="85"/>
      <c r="PYO19" s="85"/>
      <c r="PYP19" s="85"/>
      <c r="PYQ19" s="85"/>
      <c r="PYR19" s="85"/>
      <c r="PYS19" s="85"/>
      <c r="PYT19" s="85"/>
      <c r="PYU19" s="85"/>
      <c r="PYV19" s="85"/>
      <c r="PYW19" s="85"/>
      <c r="PYX19" s="85"/>
      <c r="PYY19" s="85"/>
      <c r="PYZ19" s="85"/>
      <c r="PZA19" s="85"/>
      <c r="PZB19" s="85"/>
      <c r="PZC19" s="85"/>
      <c r="PZD19" s="85"/>
      <c r="PZE19" s="85"/>
      <c r="PZF19" s="85"/>
      <c r="PZG19" s="85"/>
      <c r="PZH19" s="85"/>
      <c r="PZI19" s="85"/>
      <c r="PZJ19" s="85"/>
      <c r="PZK19" s="85"/>
      <c r="PZL19" s="85"/>
      <c r="PZM19" s="85"/>
      <c r="PZN19" s="85"/>
      <c r="PZO19" s="85"/>
      <c r="PZP19" s="85"/>
      <c r="PZQ19" s="85"/>
      <c r="PZR19" s="85"/>
      <c r="PZS19" s="85"/>
      <c r="PZT19" s="85"/>
      <c r="PZU19" s="85"/>
      <c r="PZV19" s="85"/>
      <c r="PZW19" s="85"/>
      <c r="PZX19" s="85"/>
      <c r="PZY19" s="85"/>
      <c r="PZZ19" s="85"/>
      <c r="QAA19" s="85"/>
      <c r="QAB19" s="85"/>
      <c r="QAC19" s="85"/>
      <c r="QAD19" s="85"/>
      <c r="QAE19" s="85"/>
      <c r="QAF19" s="85"/>
      <c r="QAG19" s="85"/>
      <c r="QAH19" s="85"/>
      <c r="QAI19" s="85"/>
      <c r="QAJ19" s="85"/>
      <c r="QAK19" s="85"/>
      <c r="QAL19" s="85"/>
      <c r="QAM19" s="85"/>
      <c r="QAN19" s="85"/>
      <c r="QAO19" s="85"/>
      <c r="QAP19" s="85"/>
      <c r="QAQ19" s="85"/>
      <c r="QAR19" s="85"/>
      <c r="QAS19" s="85"/>
      <c r="QAT19" s="85"/>
      <c r="QAU19" s="85"/>
      <c r="QAV19" s="85"/>
      <c r="QAW19" s="85"/>
      <c r="QAX19" s="85"/>
      <c r="QAY19" s="85"/>
      <c r="QAZ19" s="85"/>
      <c r="QBA19" s="85"/>
      <c r="QBB19" s="85"/>
      <c r="QBC19" s="85"/>
      <c r="QBD19" s="85"/>
      <c r="QBE19" s="85"/>
      <c r="QBF19" s="85"/>
      <c r="QBG19" s="85"/>
      <c r="QBH19" s="85"/>
      <c r="QBI19" s="85"/>
      <c r="QBJ19" s="85"/>
      <c r="QBK19" s="85"/>
      <c r="QBL19" s="85"/>
      <c r="QBM19" s="85"/>
      <c r="QBN19" s="85"/>
      <c r="QBO19" s="85"/>
      <c r="QBP19" s="85"/>
      <c r="QBQ19" s="85"/>
      <c r="QBR19" s="85"/>
      <c r="QBS19" s="85"/>
      <c r="QBT19" s="85"/>
      <c r="QBU19" s="85"/>
      <c r="QBV19" s="85"/>
      <c r="QBW19" s="85"/>
      <c r="QBX19" s="85"/>
      <c r="QBY19" s="85"/>
      <c r="QBZ19" s="85"/>
      <c r="QCA19" s="85"/>
      <c r="QCB19" s="85"/>
      <c r="QCC19" s="85"/>
      <c r="QCD19" s="85"/>
      <c r="QCE19" s="85"/>
      <c r="QCF19" s="85"/>
      <c r="QCG19" s="85"/>
      <c r="QCH19" s="85"/>
      <c r="QCI19" s="85"/>
      <c r="QCJ19" s="85"/>
      <c r="QCK19" s="85"/>
      <c r="QCL19" s="85"/>
      <c r="QCM19" s="85"/>
      <c r="QCN19" s="85"/>
      <c r="QCO19" s="85"/>
      <c r="QCP19" s="85"/>
      <c r="QCQ19" s="85"/>
      <c r="QCR19" s="85"/>
      <c r="QCS19" s="85"/>
      <c r="QCT19" s="85"/>
      <c r="QCU19" s="85"/>
      <c r="QCV19" s="85"/>
      <c r="QCW19" s="85"/>
      <c r="QCX19" s="85"/>
      <c r="QCY19" s="85"/>
      <c r="QCZ19" s="85"/>
      <c r="QDA19" s="85"/>
      <c r="QDB19" s="85"/>
      <c r="QDC19" s="85"/>
      <c r="QDD19" s="85"/>
      <c r="QDE19" s="85"/>
      <c r="QDF19" s="85"/>
      <c r="QDG19" s="85"/>
      <c r="QDH19" s="85"/>
      <c r="QDI19" s="85"/>
      <c r="QDJ19" s="85"/>
      <c r="QDK19" s="85"/>
      <c r="QDL19" s="85"/>
      <c r="QDM19" s="85"/>
      <c r="QDN19" s="85"/>
      <c r="QDO19" s="85"/>
      <c r="QDP19" s="85"/>
      <c r="QDQ19" s="85"/>
      <c r="QDR19" s="85"/>
      <c r="QDS19" s="85"/>
      <c r="QDT19" s="85"/>
      <c r="QDU19" s="85"/>
      <c r="QDV19" s="85"/>
      <c r="QDW19" s="85"/>
      <c r="QDX19" s="85"/>
      <c r="QDY19" s="85"/>
      <c r="QDZ19" s="85"/>
      <c r="QEA19" s="85"/>
      <c r="QEB19" s="85"/>
      <c r="QEC19" s="85"/>
      <c r="QED19" s="85"/>
      <c r="QEE19" s="85"/>
      <c r="QEF19" s="85"/>
      <c r="QEG19" s="85"/>
      <c r="QEH19" s="85"/>
      <c r="QEI19" s="85"/>
      <c r="QEJ19" s="85"/>
      <c r="QEK19" s="85"/>
      <c r="QEL19" s="85"/>
      <c r="QEM19" s="85"/>
      <c r="QEN19" s="85"/>
      <c r="QEO19" s="85"/>
      <c r="QEP19" s="85"/>
      <c r="QEQ19" s="85"/>
      <c r="QER19" s="85"/>
      <c r="QES19" s="85"/>
      <c r="QET19" s="85"/>
      <c r="QEU19" s="85"/>
      <c r="QEV19" s="85"/>
      <c r="QEW19" s="85"/>
      <c r="QEX19" s="85"/>
      <c r="QEY19" s="85"/>
      <c r="QEZ19" s="85"/>
      <c r="QFA19" s="85"/>
      <c r="QFB19" s="85"/>
      <c r="QFC19" s="85"/>
      <c r="QFD19" s="85"/>
      <c r="QFE19" s="85"/>
      <c r="QFF19" s="85"/>
      <c r="QFG19" s="85"/>
      <c r="QFH19" s="85"/>
      <c r="QFI19" s="85"/>
      <c r="QFJ19" s="85"/>
      <c r="QFK19" s="85"/>
      <c r="QFL19" s="85"/>
      <c r="QFM19" s="85"/>
      <c r="QFN19" s="85"/>
      <c r="QFO19" s="85"/>
      <c r="QFP19" s="85"/>
      <c r="QFQ19" s="85"/>
      <c r="QFR19" s="85"/>
      <c r="QFS19" s="85"/>
      <c r="QFT19" s="85"/>
      <c r="QFU19" s="85"/>
      <c r="QFV19" s="85"/>
      <c r="QFW19" s="85"/>
      <c r="QFX19" s="85"/>
      <c r="QFY19" s="85"/>
      <c r="QFZ19" s="85"/>
      <c r="QGA19" s="85"/>
      <c r="QGB19" s="85"/>
      <c r="QGC19" s="85"/>
      <c r="QGD19" s="85"/>
      <c r="QGE19" s="85"/>
      <c r="QGF19" s="85"/>
      <c r="QGG19" s="85"/>
      <c r="QGH19" s="85"/>
      <c r="QGI19" s="85"/>
      <c r="QGJ19" s="85"/>
      <c r="QGK19" s="85"/>
      <c r="QGL19" s="85"/>
      <c r="QGM19" s="85"/>
      <c r="QGN19" s="85"/>
      <c r="QGO19" s="85"/>
      <c r="QGP19" s="85"/>
      <c r="QGQ19" s="85"/>
      <c r="QGR19" s="85"/>
      <c r="QGS19" s="85"/>
      <c r="QGT19" s="85"/>
      <c r="QGU19" s="85"/>
      <c r="QGV19" s="85"/>
      <c r="QGW19" s="85"/>
      <c r="QGX19" s="85"/>
      <c r="QGY19" s="85"/>
      <c r="QGZ19" s="85"/>
      <c r="QHA19" s="85"/>
      <c r="QHB19" s="85"/>
      <c r="QHC19" s="85"/>
      <c r="QHD19" s="85"/>
      <c r="QHE19" s="85"/>
      <c r="QHF19" s="85"/>
      <c r="QHG19" s="85"/>
      <c r="QHH19" s="85"/>
      <c r="QHI19" s="85"/>
      <c r="QHJ19" s="85"/>
      <c r="QHK19" s="85"/>
      <c r="QHL19" s="85"/>
      <c r="QHM19" s="85"/>
      <c r="QHN19" s="85"/>
      <c r="QHO19" s="85"/>
      <c r="QHP19" s="85"/>
      <c r="QHQ19" s="85"/>
      <c r="QHR19" s="85"/>
      <c r="QHS19" s="85"/>
      <c r="QHT19" s="85"/>
      <c r="QHU19" s="85"/>
      <c r="QHV19" s="85"/>
      <c r="QHW19" s="85"/>
      <c r="QHX19" s="85"/>
      <c r="QHY19" s="85"/>
      <c r="QHZ19" s="85"/>
      <c r="QIA19" s="85"/>
      <c r="QIB19" s="85"/>
      <c r="QIC19" s="85"/>
      <c r="QID19" s="85"/>
      <c r="QIE19" s="85"/>
      <c r="QIF19" s="85"/>
      <c r="QIG19" s="85"/>
      <c r="QIH19" s="85"/>
      <c r="QII19" s="85"/>
      <c r="QIJ19" s="85"/>
      <c r="QIK19" s="85"/>
      <c r="QIL19" s="85"/>
      <c r="QIM19" s="85"/>
      <c r="QIN19" s="85"/>
      <c r="QIO19" s="85"/>
      <c r="QIP19" s="85"/>
      <c r="QIQ19" s="85"/>
      <c r="QIR19" s="85"/>
      <c r="QIS19" s="85"/>
      <c r="QIT19" s="85"/>
      <c r="QIU19" s="85"/>
      <c r="QIV19" s="85"/>
      <c r="QIW19" s="85"/>
      <c r="QIX19" s="85"/>
      <c r="QIY19" s="85"/>
      <c r="QIZ19" s="85"/>
      <c r="QJA19" s="85"/>
      <c r="QJB19" s="85"/>
      <c r="QJC19" s="85"/>
      <c r="QJD19" s="85"/>
      <c r="QJE19" s="85"/>
      <c r="QJF19" s="85"/>
      <c r="QJG19" s="85"/>
      <c r="QJH19" s="85"/>
      <c r="QJI19" s="85"/>
      <c r="QJJ19" s="85"/>
      <c r="QJK19" s="85"/>
      <c r="QJL19" s="85"/>
      <c r="QJM19" s="85"/>
      <c r="QJN19" s="85"/>
      <c r="QJO19" s="85"/>
      <c r="QJP19" s="85"/>
      <c r="QJQ19" s="85"/>
      <c r="QJR19" s="85"/>
      <c r="QJS19" s="85"/>
      <c r="QJT19" s="85"/>
      <c r="QJU19" s="85"/>
      <c r="QJV19" s="85"/>
      <c r="QJW19" s="85"/>
      <c r="QJX19" s="85"/>
      <c r="QJY19" s="85"/>
      <c r="QJZ19" s="85"/>
      <c r="QKA19" s="85"/>
      <c r="QKB19" s="85"/>
      <c r="QKC19" s="85"/>
      <c r="QKD19" s="85"/>
      <c r="QKE19" s="85"/>
      <c r="QKF19" s="85"/>
      <c r="QKG19" s="85"/>
      <c r="QKH19" s="85"/>
      <c r="QKI19" s="85"/>
      <c r="QKJ19" s="85"/>
      <c r="QKK19" s="85"/>
      <c r="QKL19" s="85"/>
      <c r="QKM19" s="85"/>
      <c r="QKN19" s="85"/>
      <c r="QKO19" s="85"/>
      <c r="QKP19" s="85"/>
      <c r="QKQ19" s="85"/>
      <c r="QKR19" s="85"/>
      <c r="QKS19" s="85"/>
      <c r="QKT19" s="85"/>
      <c r="QKU19" s="85"/>
      <c r="QKV19" s="85"/>
      <c r="QKW19" s="85"/>
      <c r="QKX19" s="85"/>
      <c r="QKY19" s="85"/>
      <c r="QKZ19" s="85"/>
      <c r="QLA19" s="85"/>
      <c r="QLB19" s="85"/>
      <c r="QLC19" s="85"/>
      <c r="QLD19" s="85"/>
      <c r="QLE19" s="85"/>
      <c r="QLF19" s="85"/>
      <c r="QLG19" s="85"/>
      <c r="QLH19" s="85"/>
      <c r="QLI19" s="85"/>
      <c r="QLJ19" s="85"/>
      <c r="QLK19" s="85"/>
      <c r="QLL19" s="85"/>
      <c r="QLM19" s="85"/>
      <c r="QLN19" s="85"/>
      <c r="QLO19" s="85"/>
      <c r="QLP19" s="85"/>
      <c r="QLQ19" s="85"/>
      <c r="QLR19" s="85"/>
      <c r="QLS19" s="85"/>
      <c r="QLT19" s="85"/>
      <c r="QLU19" s="85"/>
      <c r="QLV19" s="85"/>
      <c r="QLW19" s="85"/>
      <c r="QLX19" s="85"/>
      <c r="QLY19" s="85"/>
      <c r="QLZ19" s="85"/>
      <c r="QMA19" s="85"/>
      <c r="QMB19" s="85"/>
      <c r="QMC19" s="85"/>
      <c r="QMD19" s="85"/>
      <c r="QME19" s="85"/>
      <c r="QMF19" s="85"/>
      <c r="QMG19" s="85"/>
      <c r="QMH19" s="85"/>
      <c r="QMI19" s="85"/>
      <c r="QMJ19" s="85"/>
      <c r="QMK19" s="85"/>
      <c r="QML19" s="85"/>
      <c r="QMM19" s="85"/>
      <c r="QMN19" s="85"/>
      <c r="QMO19" s="85"/>
      <c r="QMP19" s="85"/>
      <c r="QMQ19" s="85"/>
      <c r="QMR19" s="85"/>
      <c r="QMS19" s="85"/>
      <c r="QMT19" s="85"/>
      <c r="QMU19" s="85"/>
      <c r="QMV19" s="85"/>
      <c r="QMW19" s="85"/>
      <c r="QMX19" s="85"/>
      <c r="QMY19" s="85"/>
      <c r="QMZ19" s="85"/>
      <c r="QNA19" s="85"/>
      <c r="QNB19" s="85"/>
      <c r="QNC19" s="85"/>
      <c r="QND19" s="85"/>
      <c r="QNE19" s="85"/>
      <c r="QNF19" s="85"/>
      <c r="QNG19" s="85"/>
      <c r="QNH19" s="85"/>
      <c r="QNI19" s="85"/>
      <c r="QNJ19" s="85"/>
      <c r="QNK19" s="85"/>
      <c r="QNL19" s="85"/>
      <c r="QNM19" s="85"/>
      <c r="QNN19" s="85"/>
      <c r="QNO19" s="85"/>
      <c r="QNP19" s="85"/>
      <c r="QNQ19" s="85"/>
      <c r="QNR19" s="85"/>
      <c r="QNS19" s="85"/>
      <c r="QNT19" s="85"/>
      <c r="QNU19" s="85"/>
      <c r="QNV19" s="85"/>
      <c r="QNW19" s="85"/>
      <c r="QNX19" s="85"/>
      <c r="QNY19" s="85"/>
      <c r="QNZ19" s="85"/>
      <c r="QOA19" s="85"/>
      <c r="QOB19" s="85"/>
      <c r="QOC19" s="85"/>
      <c r="QOD19" s="85"/>
      <c r="QOE19" s="85"/>
      <c r="QOF19" s="85"/>
      <c r="QOG19" s="85"/>
      <c r="QOH19" s="85"/>
      <c r="QOI19" s="85"/>
      <c r="QOJ19" s="85"/>
      <c r="QOK19" s="85"/>
      <c r="QOL19" s="85"/>
      <c r="QOM19" s="85"/>
      <c r="QON19" s="85"/>
      <c r="QOO19" s="85"/>
      <c r="QOP19" s="85"/>
      <c r="QOQ19" s="85"/>
      <c r="QOR19" s="85"/>
      <c r="QOS19" s="85"/>
      <c r="QOT19" s="85"/>
      <c r="QOU19" s="85"/>
      <c r="QOV19" s="85"/>
      <c r="QOW19" s="85"/>
      <c r="QOX19" s="85"/>
      <c r="QOY19" s="85"/>
      <c r="QOZ19" s="85"/>
      <c r="QPA19" s="85"/>
      <c r="QPB19" s="85"/>
      <c r="QPC19" s="85"/>
      <c r="QPD19" s="85"/>
      <c r="QPE19" s="85"/>
      <c r="QPF19" s="85"/>
      <c r="QPG19" s="85"/>
      <c r="QPH19" s="85"/>
      <c r="QPI19" s="85"/>
      <c r="QPJ19" s="85"/>
      <c r="QPK19" s="85"/>
      <c r="QPL19" s="85"/>
      <c r="QPM19" s="85"/>
      <c r="QPN19" s="85"/>
      <c r="QPO19" s="85"/>
      <c r="QPP19" s="85"/>
      <c r="QPQ19" s="85"/>
      <c r="QPR19" s="85"/>
      <c r="QPS19" s="85"/>
      <c r="QPT19" s="85"/>
      <c r="QPU19" s="85"/>
      <c r="QPV19" s="85"/>
      <c r="QPW19" s="85"/>
      <c r="QPX19" s="85"/>
      <c r="QPY19" s="85"/>
      <c r="QPZ19" s="85"/>
      <c r="QQA19" s="85"/>
      <c r="QQB19" s="85"/>
      <c r="QQC19" s="85"/>
      <c r="QQD19" s="85"/>
      <c r="QQE19" s="85"/>
      <c r="QQF19" s="85"/>
      <c r="QQG19" s="85"/>
      <c r="QQH19" s="85"/>
      <c r="QQI19" s="85"/>
      <c r="QQJ19" s="85"/>
      <c r="QQK19" s="85"/>
      <c r="QQL19" s="85"/>
      <c r="QQM19" s="85"/>
      <c r="QQN19" s="85"/>
      <c r="QQO19" s="85"/>
      <c r="QQP19" s="85"/>
      <c r="QQQ19" s="85"/>
      <c r="QQR19" s="85"/>
      <c r="QQS19" s="85"/>
      <c r="QQT19" s="85"/>
      <c r="QQU19" s="85"/>
      <c r="QQV19" s="85"/>
      <c r="QQW19" s="85"/>
      <c r="QQX19" s="85"/>
      <c r="QQY19" s="85"/>
      <c r="QQZ19" s="85"/>
      <c r="QRA19" s="85"/>
      <c r="QRB19" s="85"/>
      <c r="QRC19" s="85"/>
      <c r="QRD19" s="85"/>
      <c r="QRE19" s="85"/>
      <c r="QRF19" s="85"/>
      <c r="QRG19" s="85"/>
      <c r="QRH19" s="85"/>
      <c r="QRI19" s="85"/>
      <c r="QRJ19" s="85"/>
      <c r="QRK19" s="85"/>
      <c r="QRL19" s="85"/>
      <c r="QRM19" s="85"/>
      <c r="QRN19" s="85"/>
      <c r="QRO19" s="85"/>
      <c r="QRP19" s="85"/>
      <c r="QRQ19" s="85"/>
      <c r="QRR19" s="85"/>
      <c r="QRS19" s="85"/>
      <c r="QRT19" s="85"/>
      <c r="QRU19" s="85"/>
      <c r="QRV19" s="85"/>
      <c r="QRW19" s="85"/>
      <c r="QRX19" s="85"/>
      <c r="QRY19" s="85"/>
      <c r="QRZ19" s="85"/>
      <c r="QSA19" s="85"/>
      <c r="QSB19" s="85"/>
      <c r="QSC19" s="85"/>
      <c r="QSD19" s="85"/>
      <c r="QSE19" s="85"/>
      <c r="QSF19" s="85"/>
      <c r="QSG19" s="85"/>
      <c r="QSH19" s="85"/>
      <c r="QSI19" s="85"/>
      <c r="QSJ19" s="85"/>
      <c r="QSK19" s="85"/>
      <c r="QSL19" s="85"/>
      <c r="QSM19" s="85"/>
      <c r="QSN19" s="85"/>
      <c r="QSO19" s="85"/>
      <c r="QSP19" s="85"/>
      <c r="QSQ19" s="85"/>
      <c r="QSR19" s="85"/>
      <c r="QSS19" s="85"/>
      <c r="QST19" s="85"/>
      <c r="QSU19" s="85"/>
      <c r="QSV19" s="85"/>
      <c r="QSW19" s="85"/>
      <c r="QSX19" s="85"/>
      <c r="QSY19" s="85"/>
      <c r="QSZ19" s="85"/>
      <c r="QTA19" s="85"/>
      <c r="QTB19" s="85"/>
      <c r="QTC19" s="85"/>
      <c r="QTD19" s="85"/>
      <c r="QTE19" s="85"/>
      <c r="QTF19" s="85"/>
      <c r="QTG19" s="85"/>
      <c r="QTH19" s="85"/>
      <c r="QTI19" s="85"/>
      <c r="QTJ19" s="85"/>
      <c r="QTK19" s="85"/>
      <c r="QTL19" s="85"/>
      <c r="QTM19" s="85"/>
      <c r="QTN19" s="85"/>
      <c r="QTO19" s="85"/>
      <c r="QTP19" s="85"/>
      <c r="QTQ19" s="85"/>
      <c r="QTR19" s="85"/>
      <c r="QTS19" s="85"/>
      <c r="QTT19" s="85"/>
      <c r="QTU19" s="85"/>
      <c r="QTV19" s="85"/>
      <c r="QTW19" s="85"/>
      <c r="QTX19" s="85"/>
      <c r="QTY19" s="85"/>
      <c r="QTZ19" s="85"/>
      <c r="QUA19" s="85"/>
      <c r="QUB19" s="85"/>
      <c r="QUC19" s="85"/>
      <c r="QUD19" s="85"/>
      <c r="QUE19" s="85"/>
      <c r="QUF19" s="85"/>
      <c r="QUG19" s="85"/>
      <c r="QUH19" s="85"/>
      <c r="QUI19" s="85"/>
      <c r="QUJ19" s="85"/>
      <c r="QUK19" s="85"/>
      <c r="QUL19" s="85"/>
      <c r="QUM19" s="85"/>
      <c r="QUN19" s="85"/>
      <c r="QUO19" s="85"/>
      <c r="QUP19" s="85"/>
      <c r="QUQ19" s="85"/>
      <c r="QUR19" s="85"/>
      <c r="QUS19" s="85"/>
      <c r="QUT19" s="85"/>
      <c r="QUU19" s="85"/>
      <c r="QUV19" s="85"/>
      <c r="QUW19" s="85"/>
      <c r="QUX19" s="85"/>
      <c r="QUY19" s="85"/>
      <c r="QUZ19" s="85"/>
      <c r="QVA19" s="85"/>
      <c r="QVB19" s="85"/>
      <c r="QVC19" s="85"/>
      <c r="QVD19" s="85"/>
      <c r="QVE19" s="85"/>
      <c r="QVF19" s="85"/>
      <c r="QVG19" s="85"/>
      <c r="QVH19" s="85"/>
      <c r="QVI19" s="85"/>
      <c r="QVJ19" s="85"/>
      <c r="QVK19" s="85"/>
      <c r="QVL19" s="85"/>
      <c r="QVM19" s="85"/>
      <c r="QVN19" s="85"/>
      <c r="QVO19" s="85"/>
      <c r="QVP19" s="85"/>
      <c r="QVQ19" s="85"/>
      <c r="QVR19" s="85"/>
      <c r="QVS19" s="85"/>
      <c r="QVT19" s="85"/>
      <c r="QVU19" s="85"/>
      <c r="QVV19" s="85"/>
      <c r="QVW19" s="85"/>
      <c r="QVX19" s="85"/>
      <c r="QVY19" s="85"/>
      <c r="QVZ19" s="85"/>
      <c r="QWA19" s="85"/>
      <c r="QWB19" s="85"/>
      <c r="QWC19" s="85"/>
      <c r="QWD19" s="85"/>
      <c r="QWE19" s="85"/>
      <c r="QWF19" s="85"/>
      <c r="QWG19" s="85"/>
      <c r="QWH19" s="85"/>
      <c r="QWI19" s="85"/>
      <c r="QWJ19" s="85"/>
      <c r="QWK19" s="85"/>
      <c r="QWL19" s="85"/>
      <c r="QWM19" s="85"/>
      <c r="QWN19" s="85"/>
      <c r="QWO19" s="85"/>
      <c r="QWP19" s="85"/>
      <c r="QWQ19" s="85"/>
      <c r="QWR19" s="85"/>
      <c r="QWS19" s="85"/>
      <c r="QWT19" s="85"/>
      <c r="QWU19" s="85"/>
      <c r="QWV19" s="85"/>
      <c r="QWW19" s="85"/>
      <c r="QWX19" s="85"/>
      <c r="QWY19" s="85"/>
      <c r="QWZ19" s="85"/>
      <c r="QXA19" s="85"/>
      <c r="QXB19" s="85"/>
      <c r="QXC19" s="85"/>
      <c r="QXD19" s="85"/>
      <c r="QXE19" s="85"/>
      <c r="QXF19" s="85"/>
      <c r="QXG19" s="85"/>
      <c r="QXH19" s="85"/>
      <c r="QXI19" s="85"/>
      <c r="QXJ19" s="85"/>
      <c r="QXK19" s="85"/>
      <c r="QXL19" s="85"/>
      <c r="QXM19" s="85"/>
      <c r="QXN19" s="85"/>
      <c r="QXO19" s="85"/>
      <c r="QXP19" s="85"/>
      <c r="QXQ19" s="85"/>
      <c r="QXR19" s="85"/>
      <c r="QXS19" s="85"/>
      <c r="QXT19" s="85"/>
      <c r="QXU19" s="85"/>
      <c r="QXV19" s="85"/>
      <c r="QXW19" s="85"/>
      <c r="QXX19" s="85"/>
      <c r="QXY19" s="85"/>
      <c r="QXZ19" s="85"/>
      <c r="QYA19" s="85"/>
      <c r="QYB19" s="85"/>
      <c r="QYC19" s="85"/>
      <c r="QYD19" s="85"/>
      <c r="QYE19" s="85"/>
      <c r="QYF19" s="85"/>
      <c r="QYG19" s="85"/>
      <c r="QYH19" s="85"/>
      <c r="QYI19" s="85"/>
      <c r="QYJ19" s="85"/>
      <c r="QYK19" s="85"/>
      <c r="QYL19" s="85"/>
      <c r="QYM19" s="85"/>
      <c r="QYN19" s="85"/>
      <c r="QYO19" s="85"/>
      <c r="QYP19" s="85"/>
      <c r="QYQ19" s="85"/>
      <c r="QYR19" s="85"/>
      <c r="QYS19" s="85"/>
      <c r="QYT19" s="85"/>
      <c r="QYU19" s="85"/>
      <c r="QYV19" s="85"/>
      <c r="QYW19" s="85"/>
      <c r="QYX19" s="85"/>
      <c r="QYY19" s="85"/>
      <c r="QYZ19" s="85"/>
      <c r="QZA19" s="85"/>
      <c r="QZB19" s="85"/>
      <c r="QZC19" s="85"/>
      <c r="QZD19" s="85"/>
      <c r="QZE19" s="85"/>
      <c r="QZF19" s="85"/>
      <c r="QZG19" s="85"/>
      <c r="QZH19" s="85"/>
      <c r="QZI19" s="85"/>
      <c r="QZJ19" s="85"/>
      <c r="QZK19" s="85"/>
      <c r="QZL19" s="85"/>
      <c r="QZM19" s="85"/>
      <c r="QZN19" s="85"/>
      <c r="QZO19" s="85"/>
      <c r="QZP19" s="85"/>
      <c r="QZQ19" s="85"/>
      <c r="QZR19" s="85"/>
      <c r="QZS19" s="85"/>
      <c r="QZT19" s="85"/>
      <c r="QZU19" s="85"/>
      <c r="QZV19" s="85"/>
      <c r="QZW19" s="85"/>
      <c r="QZX19" s="85"/>
      <c r="QZY19" s="85"/>
      <c r="QZZ19" s="85"/>
      <c r="RAA19" s="85"/>
      <c r="RAB19" s="85"/>
      <c r="RAC19" s="85"/>
      <c r="RAD19" s="85"/>
      <c r="RAE19" s="85"/>
      <c r="RAF19" s="85"/>
      <c r="RAG19" s="85"/>
      <c r="RAH19" s="85"/>
      <c r="RAI19" s="85"/>
      <c r="RAJ19" s="85"/>
      <c r="RAK19" s="85"/>
      <c r="RAL19" s="85"/>
      <c r="RAM19" s="85"/>
      <c r="RAN19" s="85"/>
      <c r="RAO19" s="85"/>
      <c r="RAP19" s="85"/>
      <c r="RAQ19" s="85"/>
      <c r="RAR19" s="85"/>
      <c r="RAS19" s="85"/>
      <c r="RAT19" s="85"/>
      <c r="RAU19" s="85"/>
      <c r="RAV19" s="85"/>
      <c r="RAW19" s="85"/>
      <c r="RAX19" s="85"/>
      <c r="RAY19" s="85"/>
      <c r="RAZ19" s="85"/>
      <c r="RBA19" s="85"/>
      <c r="RBB19" s="85"/>
      <c r="RBC19" s="85"/>
      <c r="RBD19" s="85"/>
      <c r="RBE19" s="85"/>
      <c r="RBF19" s="85"/>
      <c r="RBG19" s="85"/>
      <c r="RBH19" s="85"/>
      <c r="RBI19" s="85"/>
      <c r="RBJ19" s="85"/>
      <c r="RBK19" s="85"/>
      <c r="RBL19" s="85"/>
      <c r="RBM19" s="85"/>
      <c r="RBN19" s="85"/>
      <c r="RBO19" s="85"/>
      <c r="RBP19" s="85"/>
      <c r="RBQ19" s="85"/>
      <c r="RBR19" s="85"/>
      <c r="RBS19" s="85"/>
      <c r="RBT19" s="85"/>
      <c r="RBU19" s="85"/>
      <c r="RBV19" s="85"/>
      <c r="RBW19" s="85"/>
      <c r="RBX19" s="85"/>
      <c r="RBY19" s="85"/>
      <c r="RBZ19" s="85"/>
      <c r="RCA19" s="85"/>
      <c r="RCB19" s="85"/>
      <c r="RCC19" s="85"/>
      <c r="RCD19" s="85"/>
      <c r="RCE19" s="85"/>
      <c r="RCF19" s="85"/>
      <c r="RCG19" s="85"/>
      <c r="RCH19" s="85"/>
      <c r="RCI19" s="85"/>
      <c r="RCJ19" s="85"/>
      <c r="RCK19" s="85"/>
      <c r="RCL19" s="85"/>
      <c r="RCM19" s="85"/>
      <c r="RCN19" s="85"/>
      <c r="RCO19" s="85"/>
      <c r="RCP19" s="85"/>
      <c r="RCQ19" s="85"/>
      <c r="RCR19" s="85"/>
      <c r="RCS19" s="85"/>
      <c r="RCT19" s="85"/>
      <c r="RCU19" s="85"/>
      <c r="RCV19" s="85"/>
      <c r="RCW19" s="85"/>
      <c r="RCX19" s="85"/>
      <c r="RCY19" s="85"/>
      <c r="RCZ19" s="85"/>
      <c r="RDA19" s="85"/>
      <c r="RDB19" s="85"/>
      <c r="RDC19" s="85"/>
      <c r="RDD19" s="85"/>
      <c r="RDE19" s="85"/>
      <c r="RDF19" s="85"/>
      <c r="RDG19" s="85"/>
      <c r="RDH19" s="85"/>
      <c r="RDI19" s="85"/>
      <c r="RDJ19" s="85"/>
      <c r="RDK19" s="85"/>
      <c r="RDL19" s="85"/>
      <c r="RDM19" s="85"/>
      <c r="RDN19" s="85"/>
      <c r="RDO19" s="85"/>
      <c r="RDP19" s="85"/>
      <c r="RDQ19" s="85"/>
      <c r="RDR19" s="85"/>
      <c r="RDS19" s="85"/>
      <c r="RDT19" s="85"/>
      <c r="RDU19" s="85"/>
      <c r="RDV19" s="85"/>
      <c r="RDW19" s="85"/>
      <c r="RDX19" s="85"/>
      <c r="RDY19" s="85"/>
      <c r="RDZ19" s="85"/>
      <c r="REA19" s="85"/>
      <c r="REB19" s="85"/>
      <c r="REC19" s="85"/>
      <c r="RED19" s="85"/>
      <c r="REE19" s="85"/>
      <c r="REF19" s="85"/>
      <c r="REG19" s="85"/>
      <c r="REH19" s="85"/>
      <c r="REI19" s="85"/>
      <c r="REJ19" s="85"/>
      <c r="REK19" s="85"/>
      <c r="REL19" s="85"/>
      <c r="REM19" s="85"/>
      <c r="REN19" s="85"/>
      <c r="REO19" s="85"/>
      <c r="REP19" s="85"/>
      <c r="REQ19" s="85"/>
      <c r="RER19" s="85"/>
      <c r="RES19" s="85"/>
      <c r="RET19" s="85"/>
      <c r="REU19" s="85"/>
      <c r="REV19" s="85"/>
      <c r="REW19" s="85"/>
      <c r="REX19" s="85"/>
      <c r="REY19" s="85"/>
      <c r="REZ19" s="85"/>
      <c r="RFA19" s="85"/>
      <c r="RFB19" s="85"/>
      <c r="RFC19" s="85"/>
      <c r="RFD19" s="85"/>
      <c r="RFE19" s="85"/>
      <c r="RFF19" s="85"/>
      <c r="RFG19" s="85"/>
      <c r="RFH19" s="85"/>
      <c r="RFI19" s="85"/>
      <c r="RFJ19" s="85"/>
      <c r="RFK19" s="85"/>
      <c r="RFL19" s="85"/>
      <c r="RFM19" s="85"/>
      <c r="RFN19" s="85"/>
      <c r="RFO19" s="85"/>
      <c r="RFP19" s="85"/>
      <c r="RFQ19" s="85"/>
      <c r="RFR19" s="85"/>
      <c r="RFS19" s="85"/>
      <c r="RFT19" s="85"/>
      <c r="RFU19" s="85"/>
      <c r="RFV19" s="85"/>
      <c r="RFW19" s="85"/>
      <c r="RFX19" s="85"/>
      <c r="RFY19" s="85"/>
      <c r="RFZ19" s="85"/>
      <c r="RGA19" s="85"/>
      <c r="RGB19" s="85"/>
      <c r="RGC19" s="85"/>
      <c r="RGD19" s="85"/>
      <c r="RGE19" s="85"/>
      <c r="RGF19" s="85"/>
      <c r="RGG19" s="85"/>
      <c r="RGH19" s="85"/>
      <c r="RGI19" s="85"/>
      <c r="RGJ19" s="85"/>
      <c r="RGK19" s="85"/>
      <c r="RGL19" s="85"/>
      <c r="RGM19" s="85"/>
      <c r="RGN19" s="85"/>
      <c r="RGO19" s="85"/>
      <c r="RGP19" s="85"/>
      <c r="RGQ19" s="85"/>
      <c r="RGR19" s="85"/>
      <c r="RGS19" s="85"/>
      <c r="RGT19" s="85"/>
      <c r="RGU19" s="85"/>
      <c r="RGV19" s="85"/>
      <c r="RGW19" s="85"/>
      <c r="RGX19" s="85"/>
      <c r="RGY19" s="85"/>
      <c r="RGZ19" s="85"/>
      <c r="RHA19" s="85"/>
      <c r="RHB19" s="85"/>
      <c r="RHC19" s="85"/>
      <c r="RHD19" s="85"/>
      <c r="RHE19" s="85"/>
      <c r="RHF19" s="85"/>
      <c r="RHG19" s="85"/>
      <c r="RHH19" s="85"/>
      <c r="RHI19" s="85"/>
      <c r="RHJ19" s="85"/>
      <c r="RHK19" s="85"/>
      <c r="RHL19" s="85"/>
      <c r="RHM19" s="85"/>
      <c r="RHN19" s="85"/>
      <c r="RHO19" s="85"/>
      <c r="RHP19" s="85"/>
      <c r="RHQ19" s="85"/>
      <c r="RHR19" s="85"/>
      <c r="RHS19" s="85"/>
      <c r="RHT19" s="85"/>
      <c r="RHU19" s="85"/>
      <c r="RHV19" s="85"/>
      <c r="RHW19" s="85"/>
      <c r="RHX19" s="85"/>
      <c r="RHY19" s="85"/>
      <c r="RHZ19" s="85"/>
      <c r="RIA19" s="85"/>
      <c r="RIB19" s="85"/>
      <c r="RIC19" s="85"/>
      <c r="RID19" s="85"/>
      <c r="RIE19" s="85"/>
      <c r="RIF19" s="85"/>
      <c r="RIG19" s="85"/>
      <c r="RIH19" s="85"/>
      <c r="RII19" s="85"/>
      <c r="RIJ19" s="85"/>
      <c r="RIK19" s="85"/>
      <c r="RIL19" s="85"/>
      <c r="RIM19" s="85"/>
      <c r="RIN19" s="85"/>
      <c r="RIO19" s="85"/>
      <c r="RIP19" s="85"/>
      <c r="RIQ19" s="85"/>
      <c r="RIR19" s="85"/>
      <c r="RIS19" s="85"/>
      <c r="RIT19" s="85"/>
      <c r="RIU19" s="85"/>
      <c r="RIV19" s="85"/>
      <c r="RIW19" s="85"/>
      <c r="RIX19" s="85"/>
      <c r="RIY19" s="85"/>
      <c r="RIZ19" s="85"/>
      <c r="RJA19" s="85"/>
      <c r="RJB19" s="85"/>
      <c r="RJC19" s="85"/>
      <c r="RJD19" s="85"/>
      <c r="RJE19" s="85"/>
      <c r="RJF19" s="85"/>
      <c r="RJG19" s="85"/>
      <c r="RJH19" s="85"/>
      <c r="RJI19" s="85"/>
      <c r="RJJ19" s="85"/>
      <c r="RJK19" s="85"/>
      <c r="RJL19" s="85"/>
      <c r="RJM19" s="85"/>
      <c r="RJN19" s="85"/>
      <c r="RJO19" s="85"/>
      <c r="RJP19" s="85"/>
      <c r="RJQ19" s="85"/>
      <c r="RJR19" s="85"/>
      <c r="RJS19" s="85"/>
      <c r="RJT19" s="85"/>
      <c r="RJU19" s="85"/>
      <c r="RJV19" s="85"/>
      <c r="RJW19" s="85"/>
      <c r="RJX19" s="85"/>
      <c r="RJY19" s="85"/>
      <c r="RJZ19" s="85"/>
      <c r="RKA19" s="85"/>
      <c r="RKB19" s="85"/>
      <c r="RKC19" s="85"/>
      <c r="RKD19" s="85"/>
      <c r="RKE19" s="85"/>
      <c r="RKF19" s="85"/>
      <c r="RKG19" s="85"/>
      <c r="RKH19" s="85"/>
      <c r="RKI19" s="85"/>
      <c r="RKJ19" s="85"/>
      <c r="RKK19" s="85"/>
      <c r="RKL19" s="85"/>
      <c r="RKM19" s="85"/>
      <c r="RKN19" s="85"/>
      <c r="RKO19" s="85"/>
      <c r="RKP19" s="85"/>
      <c r="RKQ19" s="85"/>
      <c r="RKR19" s="85"/>
      <c r="RKS19" s="85"/>
      <c r="RKT19" s="85"/>
      <c r="RKU19" s="85"/>
      <c r="RKV19" s="85"/>
      <c r="RKW19" s="85"/>
      <c r="RKX19" s="85"/>
      <c r="RKY19" s="85"/>
      <c r="RKZ19" s="85"/>
      <c r="RLA19" s="85"/>
      <c r="RLB19" s="85"/>
      <c r="RLC19" s="85"/>
      <c r="RLD19" s="85"/>
      <c r="RLE19" s="85"/>
      <c r="RLF19" s="85"/>
      <c r="RLG19" s="85"/>
      <c r="RLH19" s="85"/>
      <c r="RLI19" s="85"/>
      <c r="RLJ19" s="85"/>
      <c r="RLK19" s="85"/>
      <c r="RLL19" s="85"/>
      <c r="RLM19" s="85"/>
      <c r="RLN19" s="85"/>
      <c r="RLO19" s="85"/>
      <c r="RLP19" s="85"/>
      <c r="RLQ19" s="85"/>
      <c r="RLR19" s="85"/>
      <c r="RLS19" s="85"/>
      <c r="RLT19" s="85"/>
      <c r="RLU19" s="85"/>
      <c r="RLV19" s="85"/>
      <c r="RLW19" s="85"/>
      <c r="RLX19" s="85"/>
      <c r="RLY19" s="85"/>
      <c r="RLZ19" s="85"/>
      <c r="RMA19" s="85"/>
      <c r="RMB19" s="85"/>
      <c r="RMC19" s="85"/>
      <c r="RMD19" s="85"/>
      <c r="RME19" s="85"/>
      <c r="RMF19" s="85"/>
      <c r="RMG19" s="85"/>
      <c r="RMH19" s="85"/>
      <c r="RMI19" s="85"/>
      <c r="RMJ19" s="85"/>
      <c r="RMK19" s="85"/>
      <c r="RML19" s="85"/>
      <c r="RMM19" s="85"/>
      <c r="RMN19" s="85"/>
      <c r="RMO19" s="85"/>
      <c r="RMP19" s="85"/>
      <c r="RMQ19" s="85"/>
      <c r="RMR19" s="85"/>
      <c r="RMS19" s="85"/>
      <c r="RMT19" s="85"/>
      <c r="RMU19" s="85"/>
      <c r="RMV19" s="85"/>
      <c r="RMW19" s="85"/>
      <c r="RMX19" s="85"/>
      <c r="RMY19" s="85"/>
      <c r="RMZ19" s="85"/>
      <c r="RNA19" s="85"/>
      <c r="RNB19" s="85"/>
      <c r="RNC19" s="85"/>
      <c r="RND19" s="85"/>
      <c r="RNE19" s="85"/>
      <c r="RNF19" s="85"/>
      <c r="RNG19" s="85"/>
      <c r="RNH19" s="85"/>
      <c r="RNI19" s="85"/>
      <c r="RNJ19" s="85"/>
      <c r="RNK19" s="85"/>
      <c r="RNL19" s="85"/>
      <c r="RNM19" s="85"/>
      <c r="RNN19" s="85"/>
      <c r="RNO19" s="85"/>
      <c r="RNP19" s="85"/>
      <c r="RNQ19" s="85"/>
      <c r="RNR19" s="85"/>
      <c r="RNS19" s="85"/>
      <c r="RNT19" s="85"/>
      <c r="RNU19" s="85"/>
      <c r="RNV19" s="85"/>
      <c r="RNW19" s="85"/>
      <c r="RNX19" s="85"/>
      <c r="RNY19" s="85"/>
      <c r="RNZ19" s="85"/>
      <c r="ROA19" s="85"/>
      <c r="ROB19" s="85"/>
      <c r="ROC19" s="85"/>
      <c r="ROD19" s="85"/>
      <c r="ROE19" s="85"/>
      <c r="ROF19" s="85"/>
      <c r="ROG19" s="85"/>
      <c r="ROH19" s="85"/>
      <c r="ROI19" s="85"/>
      <c r="ROJ19" s="85"/>
      <c r="ROK19" s="85"/>
      <c r="ROL19" s="85"/>
      <c r="ROM19" s="85"/>
      <c r="RON19" s="85"/>
      <c r="ROO19" s="85"/>
      <c r="ROP19" s="85"/>
      <c r="ROQ19" s="85"/>
      <c r="ROR19" s="85"/>
      <c r="ROS19" s="85"/>
      <c r="ROT19" s="85"/>
      <c r="ROU19" s="85"/>
      <c r="ROV19" s="85"/>
      <c r="ROW19" s="85"/>
      <c r="ROX19" s="85"/>
      <c r="ROY19" s="85"/>
      <c r="ROZ19" s="85"/>
      <c r="RPA19" s="85"/>
      <c r="RPB19" s="85"/>
      <c r="RPC19" s="85"/>
      <c r="RPD19" s="85"/>
      <c r="RPE19" s="85"/>
      <c r="RPF19" s="85"/>
      <c r="RPG19" s="85"/>
      <c r="RPH19" s="85"/>
      <c r="RPI19" s="85"/>
      <c r="RPJ19" s="85"/>
      <c r="RPK19" s="85"/>
      <c r="RPL19" s="85"/>
      <c r="RPM19" s="85"/>
      <c r="RPN19" s="85"/>
      <c r="RPO19" s="85"/>
      <c r="RPP19" s="85"/>
      <c r="RPQ19" s="85"/>
      <c r="RPR19" s="85"/>
      <c r="RPS19" s="85"/>
      <c r="RPT19" s="85"/>
      <c r="RPU19" s="85"/>
      <c r="RPV19" s="85"/>
      <c r="RPW19" s="85"/>
      <c r="RPX19" s="85"/>
      <c r="RPY19" s="85"/>
      <c r="RPZ19" s="85"/>
      <c r="RQA19" s="85"/>
      <c r="RQB19" s="85"/>
      <c r="RQC19" s="85"/>
      <c r="RQD19" s="85"/>
      <c r="RQE19" s="85"/>
      <c r="RQF19" s="85"/>
      <c r="RQG19" s="85"/>
      <c r="RQH19" s="85"/>
      <c r="RQI19" s="85"/>
      <c r="RQJ19" s="85"/>
      <c r="RQK19" s="85"/>
      <c r="RQL19" s="85"/>
      <c r="RQM19" s="85"/>
      <c r="RQN19" s="85"/>
      <c r="RQO19" s="85"/>
      <c r="RQP19" s="85"/>
      <c r="RQQ19" s="85"/>
      <c r="RQR19" s="85"/>
      <c r="RQS19" s="85"/>
      <c r="RQT19" s="85"/>
      <c r="RQU19" s="85"/>
      <c r="RQV19" s="85"/>
      <c r="RQW19" s="85"/>
      <c r="RQX19" s="85"/>
      <c r="RQY19" s="85"/>
      <c r="RQZ19" s="85"/>
      <c r="RRA19" s="85"/>
      <c r="RRB19" s="85"/>
      <c r="RRC19" s="85"/>
      <c r="RRD19" s="85"/>
      <c r="RRE19" s="85"/>
      <c r="RRF19" s="85"/>
      <c r="RRG19" s="85"/>
      <c r="RRH19" s="85"/>
      <c r="RRI19" s="85"/>
      <c r="RRJ19" s="85"/>
      <c r="RRK19" s="85"/>
      <c r="RRL19" s="85"/>
      <c r="RRM19" s="85"/>
      <c r="RRN19" s="85"/>
      <c r="RRO19" s="85"/>
      <c r="RRP19" s="85"/>
      <c r="RRQ19" s="85"/>
      <c r="RRR19" s="85"/>
      <c r="RRS19" s="85"/>
      <c r="RRT19" s="85"/>
      <c r="RRU19" s="85"/>
      <c r="RRV19" s="85"/>
      <c r="RRW19" s="85"/>
      <c r="RRX19" s="85"/>
      <c r="RRY19" s="85"/>
      <c r="RRZ19" s="85"/>
      <c r="RSA19" s="85"/>
      <c r="RSB19" s="85"/>
      <c r="RSC19" s="85"/>
      <c r="RSD19" s="85"/>
      <c r="RSE19" s="85"/>
      <c r="RSF19" s="85"/>
      <c r="RSG19" s="85"/>
      <c r="RSH19" s="85"/>
      <c r="RSI19" s="85"/>
      <c r="RSJ19" s="85"/>
      <c r="RSK19" s="85"/>
      <c r="RSL19" s="85"/>
      <c r="RSM19" s="85"/>
      <c r="RSN19" s="85"/>
      <c r="RSO19" s="85"/>
      <c r="RSP19" s="85"/>
      <c r="RSQ19" s="85"/>
      <c r="RSR19" s="85"/>
      <c r="RSS19" s="85"/>
      <c r="RST19" s="85"/>
      <c r="RSU19" s="85"/>
      <c r="RSV19" s="85"/>
      <c r="RSW19" s="85"/>
      <c r="RSX19" s="85"/>
      <c r="RSY19" s="85"/>
      <c r="RSZ19" s="85"/>
      <c r="RTA19" s="85"/>
      <c r="RTB19" s="85"/>
      <c r="RTC19" s="85"/>
      <c r="RTD19" s="85"/>
      <c r="RTE19" s="85"/>
      <c r="RTF19" s="85"/>
      <c r="RTG19" s="85"/>
      <c r="RTH19" s="85"/>
      <c r="RTI19" s="85"/>
      <c r="RTJ19" s="85"/>
      <c r="RTK19" s="85"/>
      <c r="RTL19" s="85"/>
      <c r="RTM19" s="85"/>
      <c r="RTN19" s="85"/>
      <c r="RTO19" s="85"/>
      <c r="RTP19" s="85"/>
      <c r="RTQ19" s="85"/>
      <c r="RTR19" s="85"/>
      <c r="RTS19" s="85"/>
      <c r="RTT19" s="85"/>
      <c r="RTU19" s="85"/>
      <c r="RTV19" s="85"/>
      <c r="RTW19" s="85"/>
      <c r="RTX19" s="85"/>
      <c r="RTY19" s="85"/>
      <c r="RTZ19" s="85"/>
      <c r="RUA19" s="85"/>
      <c r="RUB19" s="85"/>
      <c r="RUC19" s="85"/>
      <c r="RUD19" s="85"/>
      <c r="RUE19" s="85"/>
      <c r="RUF19" s="85"/>
      <c r="RUG19" s="85"/>
      <c r="RUH19" s="85"/>
      <c r="RUI19" s="85"/>
      <c r="RUJ19" s="85"/>
      <c r="RUK19" s="85"/>
      <c r="RUL19" s="85"/>
      <c r="RUM19" s="85"/>
      <c r="RUN19" s="85"/>
      <c r="RUO19" s="85"/>
      <c r="RUP19" s="85"/>
      <c r="RUQ19" s="85"/>
      <c r="RUR19" s="85"/>
      <c r="RUS19" s="85"/>
      <c r="RUT19" s="85"/>
      <c r="RUU19" s="85"/>
      <c r="RUV19" s="85"/>
      <c r="RUW19" s="85"/>
      <c r="RUX19" s="85"/>
      <c r="RUY19" s="85"/>
      <c r="RUZ19" s="85"/>
      <c r="RVA19" s="85"/>
      <c r="RVB19" s="85"/>
      <c r="RVC19" s="85"/>
      <c r="RVD19" s="85"/>
      <c r="RVE19" s="85"/>
      <c r="RVF19" s="85"/>
      <c r="RVG19" s="85"/>
      <c r="RVH19" s="85"/>
      <c r="RVI19" s="85"/>
      <c r="RVJ19" s="85"/>
      <c r="RVK19" s="85"/>
      <c r="RVL19" s="85"/>
      <c r="RVM19" s="85"/>
      <c r="RVN19" s="85"/>
      <c r="RVO19" s="85"/>
      <c r="RVP19" s="85"/>
      <c r="RVQ19" s="85"/>
      <c r="RVR19" s="85"/>
      <c r="RVS19" s="85"/>
      <c r="RVT19" s="85"/>
      <c r="RVU19" s="85"/>
      <c r="RVV19" s="85"/>
      <c r="RVW19" s="85"/>
      <c r="RVX19" s="85"/>
      <c r="RVY19" s="85"/>
      <c r="RVZ19" s="85"/>
      <c r="RWA19" s="85"/>
      <c r="RWB19" s="85"/>
      <c r="RWC19" s="85"/>
      <c r="RWD19" s="85"/>
      <c r="RWE19" s="85"/>
      <c r="RWF19" s="85"/>
      <c r="RWG19" s="85"/>
      <c r="RWH19" s="85"/>
      <c r="RWI19" s="85"/>
      <c r="RWJ19" s="85"/>
      <c r="RWK19" s="85"/>
      <c r="RWL19" s="85"/>
      <c r="RWM19" s="85"/>
      <c r="RWN19" s="85"/>
      <c r="RWO19" s="85"/>
      <c r="RWP19" s="85"/>
      <c r="RWQ19" s="85"/>
      <c r="RWR19" s="85"/>
      <c r="RWS19" s="85"/>
      <c r="RWT19" s="85"/>
      <c r="RWU19" s="85"/>
      <c r="RWV19" s="85"/>
      <c r="RWW19" s="85"/>
      <c r="RWX19" s="85"/>
      <c r="RWY19" s="85"/>
      <c r="RWZ19" s="85"/>
      <c r="RXA19" s="85"/>
      <c r="RXB19" s="85"/>
      <c r="RXC19" s="85"/>
      <c r="RXD19" s="85"/>
      <c r="RXE19" s="85"/>
      <c r="RXF19" s="85"/>
      <c r="RXG19" s="85"/>
      <c r="RXH19" s="85"/>
      <c r="RXI19" s="85"/>
      <c r="RXJ19" s="85"/>
      <c r="RXK19" s="85"/>
      <c r="RXL19" s="85"/>
      <c r="RXM19" s="85"/>
      <c r="RXN19" s="85"/>
      <c r="RXO19" s="85"/>
      <c r="RXP19" s="85"/>
      <c r="RXQ19" s="85"/>
      <c r="RXR19" s="85"/>
      <c r="RXS19" s="85"/>
      <c r="RXT19" s="85"/>
      <c r="RXU19" s="85"/>
      <c r="RXV19" s="85"/>
      <c r="RXW19" s="85"/>
      <c r="RXX19" s="85"/>
      <c r="RXY19" s="85"/>
      <c r="RXZ19" s="85"/>
      <c r="RYA19" s="85"/>
      <c r="RYB19" s="85"/>
      <c r="RYC19" s="85"/>
      <c r="RYD19" s="85"/>
      <c r="RYE19" s="85"/>
      <c r="RYF19" s="85"/>
      <c r="RYG19" s="85"/>
      <c r="RYH19" s="85"/>
      <c r="RYI19" s="85"/>
      <c r="RYJ19" s="85"/>
      <c r="RYK19" s="85"/>
      <c r="RYL19" s="85"/>
      <c r="RYM19" s="85"/>
      <c r="RYN19" s="85"/>
      <c r="RYO19" s="85"/>
      <c r="RYP19" s="85"/>
      <c r="RYQ19" s="85"/>
      <c r="RYR19" s="85"/>
      <c r="RYS19" s="85"/>
      <c r="RYT19" s="85"/>
      <c r="RYU19" s="85"/>
      <c r="RYV19" s="85"/>
      <c r="RYW19" s="85"/>
      <c r="RYX19" s="85"/>
      <c r="RYY19" s="85"/>
      <c r="RYZ19" s="85"/>
      <c r="RZA19" s="85"/>
      <c r="RZB19" s="85"/>
      <c r="RZC19" s="85"/>
      <c r="RZD19" s="85"/>
      <c r="RZE19" s="85"/>
      <c r="RZF19" s="85"/>
      <c r="RZG19" s="85"/>
      <c r="RZH19" s="85"/>
      <c r="RZI19" s="85"/>
      <c r="RZJ19" s="85"/>
      <c r="RZK19" s="85"/>
      <c r="RZL19" s="85"/>
      <c r="RZM19" s="85"/>
      <c r="RZN19" s="85"/>
      <c r="RZO19" s="85"/>
      <c r="RZP19" s="85"/>
      <c r="RZQ19" s="85"/>
      <c r="RZR19" s="85"/>
      <c r="RZS19" s="85"/>
      <c r="RZT19" s="85"/>
      <c r="RZU19" s="85"/>
      <c r="RZV19" s="85"/>
      <c r="RZW19" s="85"/>
      <c r="RZX19" s="85"/>
      <c r="RZY19" s="85"/>
      <c r="RZZ19" s="85"/>
      <c r="SAA19" s="85"/>
      <c r="SAB19" s="85"/>
      <c r="SAC19" s="85"/>
      <c r="SAD19" s="85"/>
      <c r="SAE19" s="85"/>
      <c r="SAF19" s="85"/>
      <c r="SAG19" s="85"/>
      <c r="SAH19" s="85"/>
      <c r="SAI19" s="85"/>
      <c r="SAJ19" s="85"/>
      <c r="SAK19" s="85"/>
      <c r="SAL19" s="85"/>
      <c r="SAM19" s="85"/>
      <c r="SAN19" s="85"/>
      <c r="SAO19" s="85"/>
      <c r="SAP19" s="85"/>
      <c r="SAQ19" s="85"/>
      <c r="SAR19" s="85"/>
      <c r="SAS19" s="85"/>
      <c r="SAT19" s="85"/>
      <c r="SAU19" s="85"/>
      <c r="SAV19" s="85"/>
      <c r="SAW19" s="85"/>
      <c r="SAX19" s="85"/>
      <c r="SAY19" s="85"/>
      <c r="SAZ19" s="85"/>
      <c r="SBA19" s="85"/>
      <c r="SBB19" s="85"/>
      <c r="SBC19" s="85"/>
      <c r="SBD19" s="85"/>
      <c r="SBE19" s="85"/>
      <c r="SBF19" s="85"/>
      <c r="SBG19" s="85"/>
      <c r="SBH19" s="85"/>
      <c r="SBI19" s="85"/>
      <c r="SBJ19" s="85"/>
      <c r="SBK19" s="85"/>
      <c r="SBL19" s="85"/>
      <c r="SBM19" s="85"/>
      <c r="SBN19" s="85"/>
      <c r="SBO19" s="85"/>
      <c r="SBP19" s="85"/>
      <c r="SBQ19" s="85"/>
      <c r="SBR19" s="85"/>
      <c r="SBS19" s="85"/>
      <c r="SBT19" s="85"/>
      <c r="SBU19" s="85"/>
      <c r="SBV19" s="85"/>
      <c r="SBW19" s="85"/>
      <c r="SBX19" s="85"/>
      <c r="SBY19" s="85"/>
      <c r="SBZ19" s="85"/>
      <c r="SCA19" s="85"/>
      <c r="SCB19" s="85"/>
      <c r="SCC19" s="85"/>
      <c r="SCD19" s="85"/>
      <c r="SCE19" s="85"/>
      <c r="SCF19" s="85"/>
      <c r="SCG19" s="85"/>
      <c r="SCH19" s="85"/>
      <c r="SCI19" s="85"/>
      <c r="SCJ19" s="85"/>
      <c r="SCK19" s="85"/>
      <c r="SCL19" s="85"/>
      <c r="SCM19" s="85"/>
      <c r="SCN19" s="85"/>
      <c r="SCO19" s="85"/>
      <c r="SCP19" s="85"/>
      <c r="SCQ19" s="85"/>
      <c r="SCR19" s="85"/>
      <c r="SCS19" s="85"/>
      <c r="SCT19" s="85"/>
      <c r="SCU19" s="85"/>
      <c r="SCV19" s="85"/>
      <c r="SCW19" s="85"/>
      <c r="SCX19" s="85"/>
      <c r="SCY19" s="85"/>
      <c r="SCZ19" s="85"/>
      <c r="SDA19" s="85"/>
      <c r="SDB19" s="85"/>
      <c r="SDC19" s="85"/>
      <c r="SDD19" s="85"/>
      <c r="SDE19" s="85"/>
      <c r="SDF19" s="85"/>
      <c r="SDG19" s="85"/>
      <c r="SDH19" s="85"/>
      <c r="SDI19" s="85"/>
      <c r="SDJ19" s="85"/>
      <c r="SDK19" s="85"/>
      <c r="SDL19" s="85"/>
      <c r="SDM19" s="85"/>
      <c r="SDN19" s="85"/>
      <c r="SDO19" s="85"/>
      <c r="SDP19" s="85"/>
      <c r="SDQ19" s="85"/>
      <c r="SDR19" s="85"/>
      <c r="SDS19" s="85"/>
      <c r="SDT19" s="85"/>
      <c r="SDU19" s="85"/>
      <c r="SDV19" s="85"/>
      <c r="SDW19" s="85"/>
      <c r="SDX19" s="85"/>
      <c r="SDY19" s="85"/>
      <c r="SDZ19" s="85"/>
      <c r="SEA19" s="85"/>
      <c r="SEB19" s="85"/>
      <c r="SEC19" s="85"/>
      <c r="SED19" s="85"/>
      <c r="SEE19" s="85"/>
      <c r="SEF19" s="85"/>
      <c r="SEG19" s="85"/>
      <c r="SEH19" s="85"/>
      <c r="SEI19" s="85"/>
      <c r="SEJ19" s="85"/>
      <c r="SEK19" s="85"/>
      <c r="SEL19" s="85"/>
      <c r="SEM19" s="85"/>
      <c r="SEN19" s="85"/>
      <c r="SEO19" s="85"/>
      <c r="SEP19" s="85"/>
      <c r="SEQ19" s="85"/>
      <c r="SER19" s="85"/>
      <c r="SES19" s="85"/>
      <c r="SET19" s="85"/>
      <c r="SEU19" s="85"/>
      <c r="SEV19" s="85"/>
      <c r="SEW19" s="85"/>
      <c r="SEX19" s="85"/>
      <c r="SEY19" s="85"/>
      <c r="SEZ19" s="85"/>
      <c r="SFA19" s="85"/>
      <c r="SFB19" s="85"/>
      <c r="SFC19" s="85"/>
      <c r="SFD19" s="85"/>
      <c r="SFE19" s="85"/>
      <c r="SFF19" s="85"/>
      <c r="SFG19" s="85"/>
      <c r="SFH19" s="85"/>
      <c r="SFI19" s="85"/>
      <c r="SFJ19" s="85"/>
      <c r="SFK19" s="85"/>
      <c r="SFL19" s="85"/>
      <c r="SFM19" s="85"/>
      <c r="SFN19" s="85"/>
      <c r="SFO19" s="85"/>
      <c r="SFP19" s="85"/>
      <c r="SFQ19" s="85"/>
      <c r="SFR19" s="85"/>
      <c r="SFS19" s="85"/>
      <c r="SFT19" s="85"/>
      <c r="SFU19" s="85"/>
      <c r="SFV19" s="85"/>
      <c r="SFW19" s="85"/>
      <c r="SFX19" s="85"/>
      <c r="SFY19" s="85"/>
      <c r="SFZ19" s="85"/>
      <c r="SGA19" s="85"/>
      <c r="SGB19" s="85"/>
      <c r="SGC19" s="85"/>
      <c r="SGD19" s="85"/>
      <c r="SGE19" s="85"/>
      <c r="SGF19" s="85"/>
      <c r="SGG19" s="85"/>
      <c r="SGH19" s="85"/>
      <c r="SGI19" s="85"/>
      <c r="SGJ19" s="85"/>
      <c r="SGK19" s="85"/>
      <c r="SGL19" s="85"/>
      <c r="SGM19" s="85"/>
      <c r="SGN19" s="85"/>
      <c r="SGO19" s="85"/>
      <c r="SGP19" s="85"/>
      <c r="SGQ19" s="85"/>
      <c r="SGR19" s="85"/>
      <c r="SGS19" s="85"/>
      <c r="SGT19" s="85"/>
      <c r="SGU19" s="85"/>
      <c r="SGV19" s="85"/>
      <c r="SGW19" s="85"/>
      <c r="SGX19" s="85"/>
      <c r="SGY19" s="85"/>
      <c r="SGZ19" s="85"/>
      <c r="SHA19" s="85"/>
      <c r="SHB19" s="85"/>
      <c r="SHC19" s="85"/>
      <c r="SHD19" s="85"/>
      <c r="SHE19" s="85"/>
      <c r="SHF19" s="85"/>
      <c r="SHG19" s="85"/>
      <c r="SHH19" s="85"/>
      <c r="SHI19" s="85"/>
      <c r="SHJ19" s="85"/>
      <c r="SHK19" s="85"/>
      <c r="SHL19" s="85"/>
      <c r="SHM19" s="85"/>
      <c r="SHN19" s="85"/>
      <c r="SHO19" s="85"/>
      <c r="SHP19" s="85"/>
      <c r="SHQ19" s="85"/>
      <c r="SHR19" s="85"/>
      <c r="SHS19" s="85"/>
      <c r="SHT19" s="85"/>
      <c r="SHU19" s="85"/>
      <c r="SHV19" s="85"/>
      <c r="SHW19" s="85"/>
      <c r="SHX19" s="85"/>
      <c r="SHY19" s="85"/>
      <c r="SHZ19" s="85"/>
      <c r="SIA19" s="85"/>
      <c r="SIB19" s="85"/>
      <c r="SIC19" s="85"/>
      <c r="SID19" s="85"/>
      <c r="SIE19" s="85"/>
      <c r="SIF19" s="85"/>
      <c r="SIG19" s="85"/>
      <c r="SIH19" s="85"/>
      <c r="SII19" s="85"/>
      <c r="SIJ19" s="85"/>
      <c r="SIK19" s="85"/>
      <c r="SIL19" s="85"/>
      <c r="SIM19" s="85"/>
      <c r="SIN19" s="85"/>
      <c r="SIO19" s="85"/>
      <c r="SIP19" s="85"/>
      <c r="SIQ19" s="85"/>
      <c r="SIR19" s="85"/>
      <c r="SIS19" s="85"/>
      <c r="SIT19" s="85"/>
      <c r="SIU19" s="85"/>
      <c r="SIV19" s="85"/>
      <c r="SIW19" s="85"/>
      <c r="SIX19" s="85"/>
      <c r="SIY19" s="85"/>
      <c r="SIZ19" s="85"/>
      <c r="SJA19" s="85"/>
      <c r="SJB19" s="85"/>
      <c r="SJC19" s="85"/>
      <c r="SJD19" s="85"/>
      <c r="SJE19" s="85"/>
      <c r="SJF19" s="85"/>
      <c r="SJG19" s="85"/>
      <c r="SJH19" s="85"/>
      <c r="SJI19" s="85"/>
      <c r="SJJ19" s="85"/>
      <c r="SJK19" s="85"/>
      <c r="SJL19" s="85"/>
      <c r="SJM19" s="85"/>
      <c r="SJN19" s="85"/>
      <c r="SJO19" s="85"/>
      <c r="SJP19" s="85"/>
      <c r="SJQ19" s="85"/>
      <c r="SJR19" s="85"/>
      <c r="SJS19" s="85"/>
      <c r="SJT19" s="85"/>
      <c r="SJU19" s="85"/>
      <c r="SJV19" s="85"/>
      <c r="SJW19" s="85"/>
      <c r="SJX19" s="85"/>
      <c r="SJY19" s="85"/>
      <c r="SJZ19" s="85"/>
      <c r="SKA19" s="85"/>
      <c r="SKB19" s="85"/>
      <c r="SKC19" s="85"/>
      <c r="SKD19" s="85"/>
      <c r="SKE19" s="85"/>
      <c r="SKF19" s="85"/>
      <c r="SKG19" s="85"/>
      <c r="SKH19" s="85"/>
      <c r="SKI19" s="85"/>
      <c r="SKJ19" s="85"/>
      <c r="SKK19" s="85"/>
      <c r="SKL19" s="85"/>
      <c r="SKM19" s="85"/>
      <c r="SKN19" s="85"/>
      <c r="SKO19" s="85"/>
      <c r="SKP19" s="85"/>
      <c r="SKQ19" s="85"/>
      <c r="SKR19" s="85"/>
      <c r="SKS19" s="85"/>
      <c r="SKT19" s="85"/>
      <c r="SKU19" s="85"/>
      <c r="SKV19" s="85"/>
      <c r="SKW19" s="85"/>
      <c r="SKX19" s="85"/>
      <c r="SKY19" s="85"/>
      <c r="SKZ19" s="85"/>
      <c r="SLA19" s="85"/>
      <c r="SLB19" s="85"/>
      <c r="SLC19" s="85"/>
      <c r="SLD19" s="85"/>
      <c r="SLE19" s="85"/>
      <c r="SLF19" s="85"/>
      <c r="SLG19" s="85"/>
      <c r="SLH19" s="85"/>
      <c r="SLI19" s="85"/>
      <c r="SLJ19" s="85"/>
      <c r="SLK19" s="85"/>
      <c r="SLL19" s="85"/>
      <c r="SLM19" s="85"/>
      <c r="SLN19" s="85"/>
      <c r="SLO19" s="85"/>
      <c r="SLP19" s="85"/>
      <c r="SLQ19" s="85"/>
      <c r="SLR19" s="85"/>
      <c r="SLS19" s="85"/>
      <c r="SLT19" s="85"/>
      <c r="SLU19" s="85"/>
      <c r="SLV19" s="85"/>
      <c r="SLW19" s="85"/>
      <c r="SLX19" s="85"/>
      <c r="SLY19" s="85"/>
      <c r="SLZ19" s="85"/>
      <c r="SMA19" s="85"/>
      <c r="SMB19" s="85"/>
      <c r="SMC19" s="85"/>
      <c r="SMD19" s="85"/>
      <c r="SME19" s="85"/>
      <c r="SMF19" s="85"/>
      <c r="SMG19" s="85"/>
      <c r="SMH19" s="85"/>
      <c r="SMI19" s="85"/>
      <c r="SMJ19" s="85"/>
      <c r="SMK19" s="85"/>
      <c r="SML19" s="85"/>
      <c r="SMM19" s="85"/>
      <c r="SMN19" s="85"/>
      <c r="SMO19" s="85"/>
      <c r="SMP19" s="85"/>
      <c r="SMQ19" s="85"/>
      <c r="SMR19" s="85"/>
      <c r="SMS19" s="85"/>
      <c r="SMT19" s="85"/>
      <c r="SMU19" s="85"/>
      <c r="SMV19" s="85"/>
      <c r="SMW19" s="85"/>
      <c r="SMX19" s="85"/>
      <c r="SMY19" s="85"/>
      <c r="SMZ19" s="85"/>
      <c r="SNA19" s="85"/>
      <c r="SNB19" s="85"/>
      <c r="SNC19" s="85"/>
      <c r="SND19" s="85"/>
      <c r="SNE19" s="85"/>
      <c r="SNF19" s="85"/>
      <c r="SNG19" s="85"/>
      <c r="SNH19" s="85"/>
      <c r="SNI19" s="85"/>
      <c r="SNJ19" s="85"/>
      <c r="SNK19" s="85"/>
      <c r="SNL19" s="85"/>
      <c r="SNM19" s="85"/>
      <c r="SNN19" s="85"/>
      <c r="SNO19" s="85"/>
      <c r="SNP19" s="85"/>
      <c r="SNQ19" s="85"/>
      <c r="SNR19" s="85"/>
      <c r="SNS19" s="85"/>
      <c r="SNT19" s="85"/>
      <c r="SNU19" s="85"/>
      <c r="SNV19" s="85"/>
      <c r="SNW19" s="85"/>
      <c r="SNX19" s="85"/>
      <c r="SNY19" s="85"/>
      <c r="SNZ19" s="85"/>
      <c r="SOA19" s="85"/>
      <c r="SOB19" s="85"/>
      <c r="SOC19" s="85"/>
      <c r="SOD19" s="85"/>
      <c r="SOE19" s="85"/>
      <c r="SOF19" s="85"/>
      <c r="SOG19" s="85"/>
      <c r="SOH19" s="85"/>
      <c r="SOI19" s="85"/>
      <c r="SOJ19" s="85"/>
      <c r="SOK19" s="85"/>
      <c r="SOL19" s="85"/>
      <c r="SOM19" s="85"/>
      <c r="SON19" s="85"/>
      <c r="SOO19" s="85"/>
      <c r="SOP19" s="85"/>
      <c r="SOQ19" s="85"/>
      <c r="SOR19" s="85"/>
      <c r="SOS19" s="85"/>
      <c r="SOT19" s="85"/>
      <c r="SOU19" s="85"/>
      <c r="SOV19" s="85"/>
      <c r="SOW19" s="85"/>
      <c r="SOX19" s="85"/>
      <c r="SOY19" s="85"/>
      <c r="SOZ19" s="85"/>
      <c r="SPA19" s="85"/>
      <c r="SPB19" s="85"/>
      <c r="SPC19" s="85"/>
      <c r="SPD19" s="85"/>
      <c r="SPE19" s="85"/>
      <c r="SPF19" s="85"/>
      <c r="SPG19" s="85"/>
      <c r="SPH19" s="85"/>
      <c r="SPI19" s="85"/>
      <c r="SPJ19" s="85"/>
      <c r="SPK19" s="85"/>
      <c r="SPL19" s="85"/>
      <c r="SPM19" s="85"/>
      <c r="SPN19" s="85"/>
      <c r="SPO19" s="85"/>
      <c r="SPP19" s="85"/>
      <c r="SPQ19" s="85"/>
      <c r="SPR19" s="85"/>
      <c r="SPS19" s="85"/>
      <c r="SPT19" s="85"/>
      <c r="SPU19" s="85"/>
      <c r="SPV19" s="85"/>
      <c r="SPW19" s="85"/>
      <c r="SPX19" s="85"/>
      <c r="SPY19" s="85"/>
      <c r="SPZ19" s="85"/>
      <c r="SQA19" s="85"/>
      <c r="SQB19" s="85"/>
      <c r="SQC19" s="85"/>
      <c r="SQD19" s="85"/>
      <c r="SQE19" s="85"/>
      <c r="SQF19" s="85"/>
      <c r="SQG19" s="85"/>
      <c r="SQH19" s="85"/>
      <c r="SQI19" s="85"/>
      <c r="SQJ19" s="85"/>
      <c r="SQK19" s="85"/>
      <c r="SQL19" s="85"/>
      <c r="SQM19" s="85"/>
      <c r="SQN19" s="85"/>
      <c r="SQO19" s="85"/>
      <c r="SQP19" s="85"/>
      <c r="SQQ19" s="85"/>
      <c r="SQR19" s="85"/>
      <c r="SQS19" s="85"/>
      <c r="SQT19" s="85"/>
      <c r="SQU19" s="85"/>
      <c r="SQV19" s="85"/>
      <c r="SQW19" s="85"/>
      <c r="SQX19" s="85"/>
      <c r="SQY19" s="85"/>
      <c r="SQZ19" s="85"/>
      <c r="SRA19" s="85"/>
      <c r="SRB19" s="85"/>
      <c r="SRC19" s="85"/>
      <c r="SRD19" s="85"/>
      <c r="SRE19" s="85"/>
      <c r="SRF19" s="85"/>
      <c r="SRG19" s="85"/>
      <c r="SRH19" s="85"/>
      <c r="SRI19" s="85"/>
      <c r="SRJ19" s="85"/>
      <c r="SRK19" s="85"/>
      <c r="SRL19" s="85"/>
      <c r="SRM19" s="85"/>
      <c r="SRN19" s="85"/>
      <c r="SRO19" s="85"/>
      <c r="SRP19" s="85"/>
      <c r="SRQ19" s="85"/>
      <c r="SRR19" s="85"/>
      <c r="SRS19" s="85"/>
      <c r="SRT19" s="85"/>
      <c r="SRU19" s="85"/>
      <c r="SRV19" s="85"/>
      <c r="SRW19" s="85"/>
      <c r="SRX19" s="85"/>
      <c r="SRY19" s="85"/>
      <c r="SRZ19" s="85"/>
      <c r="SSA19" s="85"/>
      <c r="SSB19" s="85"/>
      <c r="SSC19" s="85"/>
      <c r="SSD19" s="85"/>
      <c r="SSE19" s="85"/>
      <c r="SSF19" s="85"/>
      <c r="SSG19" s="85"/>
      <c r="SSH19" s="85"/>
      <c r="SSI19" s="85"/>
      <c r="SSJ19" s="85"/>
      <c r="SSK19" s="85"/>
      <c r="SSL19" s="85"/>
      <c r="SSM19" s="85"/>
      <c r="SSN19" s="85"/>
      <c r="SSO19" s="85"/>
      <c r="SSP19" s="85"/>
      <c r="SSQ19" s="85"/>
      <c r="SSR19" s="85"/>
      <c r="SSS19" s="85"/>
      <c r="SST19" s="85"/>
      <c r="SSU19" s="85"/>
      <c r="SSV19" s="85"/>
      <c r="SSW19" s="85"/>
      <c r="SSX19" s="85"/>
      <c r="SSY19" s="85"/>
      <c r="SSZ19" s="85"/>
      <c r="STA19" s="85"/>
      <c r="STB19" s="85"/>
      <c r="STC19" s="85"/>
      <c r="STD19" s="85"/>
      <c r="STE19" s="85"/>
      <c r="STF19" s="85"/>
      <c r="STG19" s="85"/>
      <c r="STH19" s="85"/>
      <c r="STI19" s="85"/>
      <c r="STJ19" s="85"/>
      <c r="STK19" s="85"/>
      <c r="STL19" s="85"/>
      <c r="STM19" s="85"/>
      <c r="STN19" s="85"/>
      <c r="STO19" s="85"/>
      <c r="STP19" s="85"/>
      <c r="STQ19" s="85"/>
      <c r="STR19" s="85"/>
      <c r="STS19" s="85"/>
      <c r="STT19" s="85"/>
      <c r="STU19" s="85"/>
      <c r="STV19" s="85"/>
      <c r="STW19" s="85"/>
      <c r="STX19" s="85"/>
      <c r="STY19" s="85"/>
      <c r="STZ19" s="85"/>
      <c r="SUA19" s="85"/>
      <c r="SUB19" s="85"/>
      <c r="SUC19" s="85"/>
      <c r="SUD19" s="85"/>
      <c r="SUE19" s="85"/>
      <c r="SUF19" s="85"/>
      <c r="SUG19" s="85"/>
      <c r="SUH19" s="85"/>
      <c r="SUI19" s="85"/>
      <c r="SUJ19" s="85"/>
      <c r="SUK19" s="85"/>
      <c r="SUL19" s="85"/>
      <c r="SUM19" s="85"/>
      <c r="SUN19" s="85"/>
      <c r="SUO19" s="85"/>
      <c r="SUP19" s="85"/>
      <c r="SUQ19" s="85"/>
      <c r="SUR19" s="85"/>
      <c r="SUS19" s="85"/>
      <c r="SUT19" s="85"/>
      <c r="SUU19" s="85"/>
      <c r="SUV19" s="85"/>
      <c r="SUW19" s="85"/>
      <c r="SUX19" s="85"/>
      <c r="SUY19" s="85"/>
      <c r="SUZ19" s="85"/>
      <c r="SVA19" s="85"/>
      <c r="SVB19" s="85"/>
      <c r="SVC19" s="85"/>
      <c r="SVD19" s="85"/>
      <c r="SVE19" s="85"/>
      <c r="SVF19" s="85"/>
      <c r="SVG19" s="85"/>
      <c r="SVH19" s="85"/>
      <c r="SVI19" s="85"/>
      <c r="SVJ19" s="85"/>
      <c r="SVK19" s="85"/>
      <c r="SVL19" s="85"/>
      <c r="SVM19" s="85"/>
      <c r="SVN19" s="85"/>
      <c r="SVO19" s="85"/>
      <c r="SVP19" s="85"/>
      <c r="SVQ19" s="85"/>
      <c r="SVR19" s="85"/>
      <c r="SVS19" s="85"/>
      <c r="SVT19" s="85"/>
      <c r="SVU19" s="85"/>
      <c r="SVV19" s="85"/>
      <c r="SVW19" s="85"/>
      <c r="SVX19" s="85"/>
      <c r="SVY19" s="85"/>
      <c r="SVZ19" s="85"/>
      <c r="SWA19" s="85"/>
      <c r="SWB19" s="85"/>
      <c r="SWC19" s="85"/>
      <c r="SWD19" s="85"/>
      <c r="SWE19" s="85"/>
      <c r="SWF19" s="85"/>
      <c r="SWG19" s="85"/>
      <c r="SWH19" s="85"/>
      <c r="SWI19" s="85"/>
      <c r="SWJ19" s="85"/>
      <c r="SWK19" s="85"/>
      <c r="SWL19" s="85"/>
      <c r="SWM19" s="85"/>
      <c r="SWN19" s="85"/>
      <c r="SWO19" s="85"/>
      <c r="SWP19" s="85"/>
      <c r="SWQ19" s="85"/>
      <c r="SWR19" s="85"/>
      <c r="SWS19" s="85"/>
      <c r="SWT19" s="85"/>
      <c r="SWU19" s="85"/>
      <c r="SWV19" s="85"/>
      <c r="SWW19" s="85"/>
      <c r="SWX19" s="85"/>
      <c r="SWY19" s="85"/>
      <c r="SWZ19" s="85"/>
      <c r="SXA19" s="85"/>
      <c r="SXB19" s="85"/>
      <c r="SXC19" s="85"/>
      <c r="SXD19" s="85"/>
      <c r="SXE19" s="85"/>
      <c r="SXF19" s="85"/>
      <c r="SXG19" s="85"/>
      <c r="SXH19" s="85"/>
      <c r="SXI19" s="85"/>
      <c r="SXJ19" s="85"/>
      <c r="SXK19" s="85"/>
      <c r="SXL19" s="85"/>
      <c r="SXM19" s="85"/>
      <c r="SXN19" s="85"/>
      <c r="SXO19" s="85"/>
      <c r="SXP19" s="85"/>
      <c r="SXQ19" s="85"/>
      <c r="SXR19" s="85"/>
      <c r="SXS19" s="85"/>
      <c r="SXT19" s="85"/>
      <c r="SXU19" s="85"/>
      <c r="SXV19" s="85"/>
      <c r="SXW19" s="85"/>
      <c r="SXX19" s="85"/>
      <c r="SXY19" s="85"/>
      <c r="SXZ19" s="85"/>
      <c r="SYA19" s="85"/>
      <c r="SYB19" s="85"/>
      <c r="SYC19" s="85"/>
      <c r="SYD19" s="85"/>
      <c r="SYE19" s="85"/>
      <c r="SYF19" s="85"/>
      <c r="SYG19" s="85"/>
      <c r="SYH19" s="85"/>
      <c r="SYI19" s="85"/>
      <c r="SYJ19" s="85"/>
      <c r="SYK19" s="85"/>
      <c r="SYL19" s="85"/>
      <c r="SYM19" s="85"/>
      <c r="SYN19" s="85"/>
      <c r="SYO19" s="85"/>
      <c r="SYP19" s="85"/>
      <c r="SYQ19" s="85"/>
      <c r="SYR19" s="85"/>
      <c r="SYS19" s="85"/>
      <c r="SYT19" s="85"/>
      <c r="SYU19" s="85"/>
      <c r="SYV19" s="85"/>
      <c r="SYW19" s="85"/>
      <c r="SYX19" s="85"/>
      <c r="SYY19" s="85"/>
      <c r="SYZ19" s="85"/>
      <c r="SZA19" s="85"/>
      <c r="SZB19" s="85"/>
      <c r="SZC19" s="85"/>
      <c r="SZD19" s="85"/>
      <c r="SZE19" s="85"/>
      <c r="SZF19" s="85"/>
      <c r="SZG19" s="85"/>
      <c r="SZH19" s="85"/>
      <c r="SZI19" s="85"/>
      <c r="SZJ19" s="85"/>
      <c r="SZK19" s="85"/>
      <c r="SZL19" s="85"/>
      <c r="SZM19" s="85"/>
      <c r="SZN19" s="85"/>
      <c r="SZO19" s="85"/>
      <c r="SZP19" s="85"/>
      <c r="SZQ19" s="85"/>
      <c r="SZR19" s="85"/>
      <c r="SZS19" s="85"/>
      <c r="SZT19" s="85"/>
      <c r="SZU19" s="85"/>
      <c r="SZV19" s="85"/>
      <c r="SZW19" s="85"/>
      <c r="SZX19" s="85"/>
      <c r="SZY19" s="85"/>
      <c r="SZZ19" s="85"/>
      <c r="TAA19" s="85"/>
      <c r="TAB19" s="85"/>
      <c r="TAC19" s="85"/>
      <c r="TAD19" s="85"/>
      <c r="TAE19" s="85"/>
      <c r="TAF19" s="85"/>
      <c r="TAG19" s="85"/>
      <c r="TAH19" s="85"/>
      <c r="TAI19" s="85"/>
      <c r="TAJ19" s="85"/>
      <c r="TAK19" s="85"/>
      <c r="TAL19" s="85"/>
      <c r="TAM19" s="85"/>
      <c r="TAN19" s="85"/>
      <c r="TAO19" s="85"/>
      <c r="TAP19" s="85"/>
      <c r="TAQ19" s="85"/>
      <c r="TAR19" s="85"/>
      <c r="TAS19" s="85"/>
      <c r="TAT19" s="85"/>
      <c r="TAU19" s="85"/>
      <c r="TAV19" s="85"/>
      <c r="TAW19" s="85"/>
      <c r="TAX19" s="85"/>
      <c r="TAY19" s="85"/>
      <c r="TAZ19" s="85"/>
      <c r="TBA19" s="85"/>
      <c r="TBB19" s="85"/>
      <c r="TBC19" s="85"/>
      <c r="TBD19" s="85"/>
      <c r="TBE19" s="85"/>
      <c r="TBF19" s="85"/>
      <c r="TBG19" s="85"/>
      <c r="TBH19" s="85"/>
      <c r="TBI19" s="85"/>
      <c r="TBJ19" s="85"/>
      <c r="TBK19" s="85"/>
      <c r="TBL19" s="85"/>
      <c r="TBM19" s="85"/>
      <c r="TBN19" s="85"/>
      <c r="TBO19" s="85"/>
      <c r="TBP19" s="85"/>
      <c r="TBQ19" s="85"/>
      <c r="TBR19" s="85"/>
      <c r="TBS19" s="85"/>
      <c r="TBT19" s="85"/>
      <c r="TBU19" s="85"/>
      <c r="TBV19" s="85"/>
      <c r="TBW19" s="85"/>
      <c r="TBX19" s="85"/>
      <c r="TBY19" s="85"/>
      <c r="TBZ19" s="85"/>
      <c r="TCA19" s="85"/>
      <c r="TCB19" s="85"/>
      <c r="TCC19" s="85"/>
      <c r="TCD19" s="85"/>
      <c r="TCE19" s="85"/>
      <c r="TCF19" s="85"/>
      <c r="TCG19" s="85"/>
      <c r="TCH19" s="85"/>
      <c r="TCI19" s="85"/>
      <c r="TCJ19" s="85"/>
      <c r="TCK19" s="85"/>
      <c r="TCL19" s="85"/>
      <c r="TCM19" s="85"/>
      <c r="TCN19" s="85"/>
      <c r="TCO19" s="85"/>
      <c r="TCP19" s="85"/>
      <c r="TCQ19" s="85"/>
      <c r="TCR19" s="85"/>
      <c r="TCS19" s="85"/>
      <c r="TCT19" s="85"/>
      <c r="TCU19" s="85"/>
      <c r="TCV19" s="85"/>
      <c r="TCW19" s="85"/>
      <c r="TCX19" s="85"/>
      <c r="TCY19" s="85"/>
      <c r="TCZ19" s="85"/>
      <c r="TDA19" s="85"/>
      <c r="TDB19" s="85"/>
      <c r="TDC19" s="85"/>
      <c r="TDD19" s="85"/>
      <c r="TDE19" s="85"/>
      <c r="TDF19" s="85"/>
      <c r="TDG19" s="85"/>
      <c r="TDH19" s="85"/>
      <c r="TDI19" s="85"/>
      <c r="TDJ19" s="85"/>
      <c r="TDK19" s="85"/>
      <c r="TDL19" s="85"/>
      <c r="TDM19" s="85"/>
      <c r="TDN19" s="85"/>
      <c r="TDO19" s="85"/>
      <c r="TDP19" s="85"/>
      <c r="TDQ19" s="85"/>
      <c r="TDR19" s="85"/>
      <c r="TDS19" s="85"/>
      <c r="TDT19" s="85"/>
      <c r="TDU19" s="85"/>
      <c r="TDV19" s="85"/>
      <c r="TDW19" s="85"/>
      <c r="TDX19" s="85"/>
      <c r="TDY19" s="85"/>
      <c r="TDZ19" s="85"/>
      <c r="TEA19" s="85"/>
      <c r="TEB19" s="85"/>
      <c r="TEC19" s="85"/>
      <c r="TED19" s="85"/>
      <c r="TEE19" s="85"/>
      <c r="TEF19" s="85"/>
      <c r="TEG19" s="85"/>
      <c r="TEH19" s="85"/>
      <c r="TEI19" s="85"/>
      <c r="TEJ19" s="85"/>
      <c r="TEK19" s="85"/>
      <c r="TEL19" s="85"/>
      <c r="TEM19" s="85"/>
      <c r="TEN19" s="85"/>
      <c r="TEO19" s="85"/>
      <c r="TEP19" s="85"/>
      <c r="TEQ19" s="85"/>
      <c r="TER19" s="85"/>
      <c r="TES19" s="85"/>
      <c r="TET19" s="85"/>
      <c r="TEU19" s="85"/>
      <c r="TEV19" s="85"/>
      <c r="TEW19" s="85"/>
      <c r="TEX19" s="85"/>
      <c r="TEY19" s="85"/>
      <c r="TEZ19" s="85"/>
      <c r="TFA19" s="85"/>
      <c r="TFB19" s="85"/>
      <c r="TFC19" s="85"/>
      <c r="TFD19" s="85"/>
      <c r="TFE19" s="85"/>
      <c r="TFF19" s="85"/>
      <c r="TFG19" s="85"/>
      <c r="TFH19" s="85"/>
      <c r="TFI19" s="85"/>
      <c r="TFJ19" s="85"/>
      <c r="TFK19" s="85"/>
      <c r="TFL19" s="85"/>
      <c r="TFM19" s="85"/>
      <c r="TFN19" s="85"/>
      <c r="TFO19" s="85"/>
      <c r="TFP19" s="85"/>
      <c r="TFQ19" s="85"/>
      <c r="TFR19" s="85"/>
      <c r="TFS19" s="85"/>
      <c r="TFT19" s="85"/>
      <c r="TFU19" s="85"/>
      <c r="TFV19" s="85"/>
      <c r="TFW19" s="85"/>
      <c r="TFX19" s="85"/>
      <c r="TFY19" s="85"/>
      <c r="TFZ19" s="85"/>
      <c r="TGA19" s="85"/>
      <c r="TGB19" s="85"/>
      <c r="TGC19" s="85"/>
      <c r="TGD19" s="85"/>
      <c r="TGE19" s="85"/>
      <c r="TGF19" s="85"/>
      <c r="TGG19" s="85"/>
      <c r="TGH19" s="85"/>
      <c r="TGI19" s="85"/>
      <c r="TGJ19" s="85"/>
      <c r="TGK19" s="85"/>
      <c r="TGL19" s="85"/>
      <c r="TGM19" s="85"/>
      <c r="TGN19" s="85"/>
      <c r="TGO19" s="85"/>
      <c r="TGP19" s="85"/>
      <c r="TGQ19" s="85"/>
      <c r="TGR19" s="85"/>
      <c r="TGS19" s="85"/>
      <c r="TGT19" s="85"/>
      <c r="TGU19" s="85"/>
      <c r="TGV19" s="85"/>
      <c r="TGW19" s="85"/>
      <c r="TGX19" s="85"/>
      <c r="TGY19" s="85"/>
      <c r="TGZ19" s="85"/>
      <c r="THA19" s="85"/>
      <c r="THB19" s="85"/>
      <c r="THC19" s="85"/>
      <c r="THD19" s="85"/>
      <c r="THE19" s="85"/>
      <c r="THF19" s="85"/>
      <c r="THG19" s="85"/>
      <c r="THH19" s="85"/>
      <c r="THI19" s="85"/>
      <c r="THJ19" s="85"/>
      <c r="THK19" s="85"/>
      <c r="THL19" s="85"/>
      <c r="THM19" s="85"/>
      <c r="THN19" s="85"/>
      <c r="THO19" s="85"/>
      <c r="THP19" s="85"/>
      <c r="THQ19" s="85"/>
      <c r="THR19" s="85"/>
      <c r="THS19" s="85"/>
      <c r="THT19" s="85"/>
      <c r="THU19" s="85"/>
      <c r="THV19" s="85"/>
      <c r="THW19" s="85"/>
      <c r="THX19" s="85"/>
      <c r="THY19" s="85"/>
      <c r="THZ19" s="85"/>
      <c r="TIA19" s="85"/>
      <c r="TIB19" s="85"/>
      <c r="TIC19" s="85"/>
      <c r="TID19" s="85"/>
      <c r="TIE19" s="85"/>
      <c r="TIF19" s="85"/>
      <c r="TIG19" s="85"/>
      <c r="TIH19" s="85"/>
      <c r="TII19" s="85"/>
      <c r="TIJ19" s="85"/>
      <c r="TIK19" s="85"/>
      <c r="TIL19" s="85"/>
      <c r="TIM19" s="85"/>
      <c r="TIN19" s="85"/>
      <c r="TIO19" s="85"/>
      <c r="TIP19" s="85"/>
      <c r="TIQ19" s="85"/>
      <c r="TIR19" s="85"/>
      <c r="TIS19" s="85"/>
      <c r="TIT19" s="85"/>
      <c r="TIU19" s="85"/>
      <c r="TIV19" s="85"/>
      <c r="TIW19" s="85"/>
      <c r="TIX19" s="85"/>
      <c r="TIY19" s="85"/>
      <c r="TIZ19" s="85"/>
      <c r="TJA19" s="85"/>
      <c r="TJB19" s="85"/>
      <c r="TJC19" s="85"/>
      <c r="TJD19" s="85"/>
      <c r="TJE19" s="85"/>
      <c r="TJF19" s="85"/>
      <c r="TJG19" s="85"/>
      <c r="TJH19" s="85"/>
      <c r="TJI19" s="85"/>
      <c r="TJJ19" s="85"/>
      <c r="TJK19" s="85"/>
      <c r="TJL19" s="85"/>
      <c r="TJM19" s="85"/>
      <c r="TJN19" s="85"/>
      <c r="TJO19" s="85"/>
      <c r="TJP19" s="85"/>
      <c r="TJQ19" s="85"/>
      <c r="TJR19" s="85"/>
      <c r="TJS19" s="85"/>
      <c r="TJT19" s="85"/>
      <c r="TJU19" s="85"/>
      <c r="TJV19" s="85"/>
      <c r="TJW19" s="85"/>
      <c r="TJX19" s="85"/>
      <c r="TJY19" s="85"/>
      <c r="TJZ19" s="85"/>
      <c r="TKA19" s="85"/>
      <c r="TKB19" s="85"/>
      <c r="TKC19" s="85"/>
      <c r="TKD19" s="85"/>
      <c r="TKE19" s="85"/>
      <c r="TKF19" s="85"/>
      <c r="TKG19" s="85"/>
      <c r="TKH19" s="85"/>
      <c r="TKI19" s="85"/>
      <c r="TKJ19" s="85"/>
      <c r="TKK19" s="85"/>
      <c r="TKL19" s="85"/>
      <c r="TKM19" s="85"/>
      <c r="TKN19" s="85"/>
      <c r="TKO19" s="85"/>
      <c r="TKP19" s="85"/>
      <c r="TKQ19" s="85"/>
      <c r="TKR19" s="85"/>
      <c r="TKS19" s="85"/>
      <c r="TKT19" s="85"/>
      <c r="TKU19" s="85"/>
      <c r="TKV19" s="85"/>
      <c r="TKW19" s="85"/>
      <c r="TKX19" s="85"/>
      <c r="TKY19" s="85"/>
      <c r="TKZ19" s="85"/>
      <c r="TLA19" s="85"/>
      <c r="TLB19" s="85"/>
      <c r="TLC19" s="85"/>
      <c r="TLD19" s="85"/>
      <c r="TLE19" s="85"/>
      <c r="TLF19" s="85"/>
      <c r="TLG19" s="85"/>
      <c r="TLH19" s="85"/>
      <c r="TLI19" s="85"/>
      <c r="TLJ19" s="85"/>
      <c r="TLK19" s="85"/>
      <c r="TLL19" s="85"/>
      <c r="TLM19" s="85"/>
      <c r="TLN19" s="85"/>
      <c r="TLO19" s="85"/>
      <c r="TLP19" s="85"/>
      <c r="TLQ19" s="85"/>
      <c r="TLR19" s="85"/>
      <c r="TLS19" s="85"/>
      <c r="TLT19" s="85"/>
      <c r="TLU19" s="85"/>
      <c r="TLV19" s="85"/>
      <c r="TLW19" s="85"/>
      <c r="TLX19" s="85"/>
      <c r="TLY19" s="85"/>
      <c r="TLZ19" s="85"/>
      <c r="TMA19" s="85"/>
      <c r="TMB19" s="85"/>
      <c r="TMC19" s="85"/>
      <c r="TMD19" s="85"/>
      <c r="TME19" s="85"/>
      <c r="TMF19" s="85"/>
      <c r="TMG19" s="85"/>
      <c r="TMH19" s="85"/>
      <c r="TMI19" s="85"/>
      <c r="TMJ19" s="85"/>
      <c r="TMK19" s="85"/>
      <c r="TML19" s="85"/>
      <c r="TMM19" s="85"/>
      <c r="TMN19" s="85"/>
      <c r="TMO19" s="85"/>
      <c r="TMP19" s="85"/>
      <c r="TMQ19" s="85"/>
      <c r="TMR19" s="85"/>
      <c r="TMS19" s="85"/>
      <c r="TMT19" s="85"/>
      <c r="TMU19" s="85"/>
      <c r="TMV19" s="85"/>
      <c r="TMW19" s="85"/>
      <c r="TMX19" s="85"/>
      <c r="TMY19" s="85"/>
      <c r="TMZ19" s="85"/>
      <c r="TNA19" s="85"/>
      <c r="TNB19" s="85"/>
      <c r="TNC19" s="85"/>
      <c r="TND19" s="85"/>
      <c r="TNE19" s="85"/>
      <c r="TNF19" s="85"/>
      <c r="TNG19" s="85"/>
      <c r="TNH19" s="85"/>
      <c r="TNI19" s="85"/>
      <c r="TNJ19" s="85"/>
      <c r="TNK19" s="85"/>
      <c r="TNL19" s="85"/>
      <c r="TNM19" s="85"/>
      <c r="TNN19" s="85"/>
      <c r="TNO19" s="85"/>
      <c r="TNP19" s="85"/>
      <c r="TNQ19" s="85"/>
      <c r="TNR19" s="85"/>
      <c r="TNS19" s="85"/>
      <c r="TNT19" s="85"/>
      <c r="TNU19" s="85"/>
      <c r="TNV19" s="85"/>
      <c r="TNW19" s="85"/>
      <c r="TNX19" s="85"/>
      <c r="TNY19" s="85"/>
      <c r="TNZ19" s="85"/>
      <c r="TOA19" s="85"/>
      <c r="TOB19" s="85"/>
      <c r="TOC19" s="85"/>
      <c r="TOD19" s="85"/>
      <c r="TOE19" s="85"/>
      <c r="TOF19" s="85"/>
      <c r="TOG19" s="85"/>
      <c r="TOH19" s="85"/>
      <c r="TOI19" s="85"/>
      <c r="TOJ19" s="85"/>
      <c r="TOK19" s="85"/>
      <c r="TOL19" s="85"/>
      <c r="TOM19" s="85"/>
      <c r="TON19" s="85"/>
      <c r="TOO19" s="85"/>
      <c r="TOP19" s="85"/>
      <c r="TOQ19" s="85"/>
      <c r="TOR19" s="85"/>
      <c r="TOS19" s="85"/>
      <c r="TOT19" s="85"/>
      <c r="TOU19" s="85"/>
      <c r="TOV19" s="85"/>
      <c r="TOW19" s="85"/>
      <c r="TOX19" s="85"/>
      <c r="TOY19" s="85"/>
      <c r="TOZ19" s="85"/>
      <c r="TPA19" s="85"/>
      <c r="TPB19" s="85"/>
      <c r="TPC19" s="85"/>
      <c r="TPD19" s="85"/>
      <c r="TPE19" s="85"/>
      <c r="TPF19" s="85"/>
      <c r="TPG19" s="85"/>
      <c r="TPH19" s="85"/>
      <c r="TPI19" s="85"/>
      <c r="TPJ19" s="85"/>
      <c r="TPK19" s="85"/>
      <c r="TPL19" s="85"/>
      <c r="TPM19" s="85"/>
      <c r="TPN19" s="85"/>
      <c r="TPO19" s="85"/>
      <c r="TPP19" s="85"/>
      <c r="TPQ19" s="85"/>
      <c r="TPR19" s="85"/>
      <c r="TPS19" s="85"/>
      <c r="TPT19" s="85"/>
      <c r="TPU19" s="85"/>
      <c r="TPV19" s="85"/>
      <c r="TPW19" s="85"/>
      <c r="TPX19" s="85"/>
      <c r="TPY19" s="85"/>
      <c r="TPZ19" s="85"/>
      <c r="TQA19" s="85"/>
      <c r="TQB19" s="85"/>
      <c r="TQC19" s="85"/>
      <c r="TQD19" s="85"/>
      <c r="TQE19" s="85"/>
      <c r="TQF19" s="85"/>
      <c r="TQG19" s="85"/>
      <c r="TQH19" s="85"/>
      <c r="TQI19" s="85"/>
      <c r="TQJ19" s="85"/>
      <c r="TQK19" s="85"/>
      <c r="TQL19" s="85"/>
      <c r="TQM19" s="85"/>
      <c r="TQN19" s="85"/>
      <c r="TQO19" s="85"/>
      <c r="TQP19" s="85"/>
      <c r="TQQ19" s="85"/>
      <c r="TQR19" s="85"/>
      <c r="TQS19" s="85"/>
      <c r="TQT19" s="85"/>
      <c r="TQU19" s="85"/>
      <c r="TQV19" s="85"/>
      <c r="TQW19" s="85"/>
      <c r="TQX19" s="85"/>
      <c r="TQY19" s="85"/>
      <c r="TQZ19" s="85"/>
      <c r="TRA19" s="85"/>
      <c r="TRB19" s="85"/>
      <c r="TRC19" s="85"/>
      <c r="TRD19" s="85"/>
      <c r="TRE19" s="85"/>
      <c r="TRF19" s="85"/>
      <c r="TRG19" s="85"/>
      <c r="TRH19" s="85"/>
      <c r="TRI19" s="85"/>
      <c r="TRJ19" s="85"/>
      <c r="TRK19" s="85"/>
      <c r="TRL19" s="85"/>
      <c r="TRM19" s="85"/>
      <c r="TRN19" s="85"/>
      <c r="TRO19" s="85"/>
      <c r="TRP19" s="85"/>
      <c r="TRQ19" s="85"/>
      <c r="TRR19" s="85"/>
      <c r="TRS19" s="85"/>
      <c r="TRT19" s="85"/>
      <c r="TRU19" s="85"/>
      <c r="TRV19" s="85"/>
      <c r="TRW19" s="85"/>
      <c r="TRX19" s="85"/>
      <c r="TRY19" s="85"/>
      <c r="TRZ19" s="85"/>
      <c r="TSA19" s="85"/>
      <c r="TSB19" s="85"/>
      <c r="TSC19" s="85"/>
      <c r="TSD19" s="85"/>
      <c r="TSE19" s="85"/>
      <c r="TSF19" s="85"/>
      <c r="TSG19" s="85"/>
      <c r="TSH19" s="85"/>
      <c r="TSI19" s="85"/>
      <c r="TSJ19" s="85"/>
      <c r="TSK19" s="85"/>
      <c r="TSL19" s="85"/>
      <c r="TSM19" s="85"/>
      <c r="TSN19" s="85"/>
      <c r="TSO19" s="85"/>
      <c r="TSP19" s="85"/>
      <c r="TSQ19" s="85"/>
      <c r="TSR19" s="85"/>
      <c r="TSS19" s="85"/>
      <c r="TST19" s="85"/>
      <c r="TSU19" s="85"/>
      <c r="TSV19" s="85"/>
      <c r="TSW19" s="85"/>
      <c r="TSX19" s="85"/>
      <c r="TSY19" s="85"/>
      <c r="TSZ19" s="85"/>
      <c r="TTA19" s="85"/>
      <c r="TTB19" s="85"/>
      <c r="TTC19" s="85"/>
      <c r="TTD19" s="85"/>
      <c r="TTE19" s="85"/>
      <c r="TTF19" s="85"/>
      <c r="TTG19" s="85"/>
      <c r="TTH19" s="85"/>
      <c r="TTI19" s="85"/>
      <c r="TTJ19" s="85"/>
      <c r="TTK19" s="85"/>
      <c r="TTL19" s="85"/>
      <c r="TTM19" s="85"/>
      <c r="TTN19" s="85"/>
      <c r="TTO19" s="85"/>
      <c r="TTP19" s="85"/>
      <c r="TTQ19" s="85"/>
      <c r="TTR19" s="85"/>
      <c r="TTS19" s="85"/>
      <c r="TTT19" s="85"/>
      <c r="TTU19" s="85"/>
      <c r="TTV19" s="85"/>
      <c r="TTW19" s="85"/>
      <c r="TTX19" s="85"/>
      <c r="TTY19" s="85"/>
      <c r="TTZ19" s="85"/>
      <c r="TUA19" s="85"/>
      <c r="TUB19" s="85"/>
      <c r="TUC19" s="85"/>
      <c r="TUD19" s="85"/>
      <c r="TUE19" s="85"/>
      <c r="TUF19" s="85"/>
      <c r="TUG19" s="85"/>
      <c r="TUH19" s="85"/>
      <c r="TUI19" s="85"/>
      <c r="TUJ19" s="85"/>
      <c r="TUK19" s="85"/>
      <c r="TUL19" s="85"/>
      <c r="TUM19" s="85"/>
      <c r="TUN19" s="85"/>
      <c r="TUO19" s="85"/>
      <c r="TUP19" s="85"/>
      <c r="TUQ19" s="85"/>
      <c r="TUR19" s="85"/>
      <c r="TUS19" s="85"/>
      <c r="TUT19" s="85"/>
      <c r="TUU19" s="85"/>
      <c r="TUV19" s="85"/>
      <c r="TUW19" s="85"/>
      <c r="TUX19" s="85"/>
      <c r="TUY19" s="85"/>
      <c r="TUZ19" s="85"/>
      <c r="TVA19" s="85"/>
      <c r="TVB19" s="85"/>
      <c r="TVC19" s="85"/>
      <c r="TVD19" s="85"/>
      <c r="TVE19" s="85"/>
      <c r="TVF19" s="85"/>
      <c r="TVG19" s="85"/>
      <c r="TVH19" s="85"/>
      <c r="TVI19" s="85"/>
      <c r="TVJ19" s="85"/>
      <c r="TVK19" s="85"/>
      <c r="TVL19" s="85"/>
      <c r="TVM19" s="85"/>
      <c r="TVN19" s="85"/>
      <c r="TVO19" s="85"/>
      <c r="TVP19" s="85"/>
      <c r="TVQ19" s="85"/>
      <c r="TVR19" s="85"/>
      <c r="TVS19" s="85"/>
      <c r="TVT19" s="85"/>
      <c r="TVU19" s="85"/>
      <c r="TVV19" s="85"/>
      <c r="TVW19" s="85"/>
      <c r="TVX19" s="85"/>
      <c r="TVY19" s="85"/>
      <c r="TVZ19" s="85"/>
      <c r="TWA19" s="85"/>
      <c r="TWB19" s="85"/>
      <c r="TWC19" s="85"/>
      <c r="TWD19" s="85"/>
      <c r="TWE19" s="85"/>
      <c r="TWF19" s="85"/>
      <c r="TWG19" s="85"/>
      <c r="TWH19" s="85"/>
      <c r="TWI19" s="85"/>
      <c r="TWJ19" s="85"/>
      <c r="TWK19" s="85"/>
      <c r="TWL19" s="85"/>
      <c r="TWM19" s="85"/>
      <c r="TWN19" s="85"/>
      <c r="TWO19" s="85"/>
      <c r="TWP19" s="85"/>
      <c r="TWQ19" s="85"/>
      <c r="TWR19" s="85"/>
      <c r="TWS19" s="85"/>
      <c r="TWT19" s="85"/>
      <c r="TWU19" s="85"/>
      <c r="TWV19" s="85"/>
      <c r="TWW19" s="85"/>
      <c r="TWX19" s="85"/>
      <c r="TWY19" s="85"/>
      <c r="TWZ19" s="85"/>
      <c r="TXA19" s="85"/>
      <c r="TXB19" s="85"/>
      <c r="TXC19" s="85"/>
      <c r="TXD19" s="85"/>
      <c r="TXE19" s="85"/>
      <c r="TXF19" s="85"/>
      <c r="TXG19" s="85"/>
      <c r="TXH19" s="85"/>
      <c r="TXI19" s="85"/>
      <c r="TXJ19" s="85"/>
      <c r="TXK19" s="85"/>
      <c r="TXL19" s="85"/>
      <c r="TXM19" s="85"/>
      <c r="TXN19" s="85"/>
      <c r="TXO19" s="85"/>
      <c r="TXP19" s="85"/>
      <c r="TXQ19" s="85"/>
      <c r="TXR19" s="85"/>
      <c r="TXS19" s="85"/>
      <c r="TXT19" s="85"/>
      <c r="TXU19" s="85"/>
      <c r="TXV19" s="85"/>
      <c r="TXW19" s="85"/>
      <c r="TXX19" s="85"/>
      <c r="TXY19" s="85"/>
      <c r="TXZ19" s="85"/>
      <c r="TYA19" s="85"/>
      <c r="TYB19" s="85"/>
      <c r="TYC19" s="85"/>
      <c r="TYD19" s="85"/>
      <c r="TYE19" s="85"/>
      <c r="TYF19" s="85"/>
      <c r="TYG19" s="85"/>
      <c r="TYH19" s="85"/>
      <c r="TYI19" s="85"/>
      <c r="TYJ19" s="85"/>
      <c r="TYK19" s="85"/>
      <c r="TYL19" s="85"/>
      <c r="TYM19" s="85"/>
      <c r="TYN19" s="85"/>
      <c r="TYO19" s="85"/>
      <c r="TYP19" s="85"/>
      <c r="TYQ19" s="85"/>
      <c r="TYR19" s="85"/>
      <c r="TYS19" s="85"/>
      <c r="TYT19" s="85"/>
      <c r="TYU19" s="85"/>
      <c r="TYV19" s="85"/>
      <c r="TYW19" s="85"/>
      <c r="TYX19" s="85"/>
      <c r="TYY19" s="85"/>
      <c r="TYZ19" s="85"/>
      <c r="TZA19" s="85"/>
      <c r="TZB19" s="85"/>
      <c r="TZC19" s="85"/>
      <c r="TZD19" s="85"/>
      <c r="TZE19" s="85"/>
      <c r="TZF19" s="85"/>
      <c r="TZG19" s="85"/>
      <c r="TZH19" s="85"/>
      <c r="TZI19" s="85"/>
      <c r="TZJ19" s="85"/>
      <c r="TZK19" s="85"/>
      <c r="TZL19" s="85"/>
      <c r="TZM19" s="85"/>
      <c r="TZN19" s="85"/>
      <c r="TZO19" s="85"/>
      <c r="TZP19" s="85"/>
      <c r="TZQ19" s="85"/>
      <c r="TZR19" s="85"/>
      <c r="TZS19" s="85"/>
      <c r="TZT19" s="85"/>
      <c r="TZU19" s="85"/>
      <c r="TZV19" s="85"/>
      <c r="TZW19" s="85"/>
      <c r="TZX19" s="85"/>
      <c r="TZY19" s="85"/>
      <c r="TZZ19" s="85"/>
      <c r="UAA19" s="85"/>
      <c r="UAB19" s="85"/>
      <c r="UAC19" s="85"/>
      <c r="UAD19" s="85"/>
      <c r="UAE19" s="85"/>
      <c r="UAF19" s="85"/>
      <c r="UAG19" s="85"/>
      <c r="UAH19" s="85"/>
      <c r="UAI19" s="85"/>
      <c r="UAJ19" s="85"/>
      <c r="UAK19" s="85"/>
      <c r="UAL19" s="85"/>
      <c r="UAM19" s="85"/>
      <c r="UAN19" s="85"/>
      <c r="UAO19" s="85"/>
      <c r="UAP19" s="85"/>
      <c r="UAQ19" s="85"/>
      <c r="UAR19" s="85"/>
      <c r="UAS19" s="85"/>
      <c r="UAT19" s="85"/>
      <c r="UAU19" s="85"/>
      <c r="UAV19" s="85"/>
      <c r="UAW19" s="85"/>
      <c r="UAX19" s="85"/>
      <c r="UAY19" s="85"/>
      <c r="UAZ19" s="85"/>
      <c r="UBA19" s="85"/>
      <c r="UBB19" s="85"/>
      <c r="UBC19" s="85"/>
      <c r="UBD19" s="85"/>
      <c r="UBE19" s="85"/>
      <c r="UBF19" s="85"/>
      <c r="UBG19" s="85"/>
      <c r="UBH19" s="85"/>
      <c r="UBI19" s="85"/>
      <c r="UBJ19" s="85"/>
      <c r="UBK19" s="85"/>
      <c r="UBL19" s="85"/>
      <c r="UBM19" s="85"/>
      <c r="UBN19" s="85"/>
      <c r="UBO19" s="85"/>
      <c r="UBP19" s="85"/>
      <c r="UBQ19" s="85"/>
      <c r="UBR19" s="85"/>
      <c r="UBS19" s="85"/>
      <c r="UBT19" s="85"/>
      <c r="UBU19" s="85"/>
      <c r="UBV19" s="85"/>
      <c r="UBW19" s="85"/>
      <c r="UBX19" s="85"/>
      <c r="UBY19" s="85"/>
      <c r="UBZ19" s="85"/>
      <c r="UCA19" s="85"/>
      <c r="UCB19" s="85"/>
      <c r="UCC19" s="85"/>
      <c r="UCD19" s="85"/>
      <c r="UCE19" s="85"/>
      <c r="UCF19" s="85"/>
      <c r="UCG19" s="85"/>
      <c r="UCH19" s="85"/>
      <c r="UCI19" s="85"/>
      <c r="UCJ19" s="85"/>
      <c r="UCK19" s="85"/>
      <c r="UCL19" s="85"/>
      <c r="UCM19" s="85"/>
      <c r="UCN19" s="85"/>
      <c r="UCO19" s="85"/>
      <c r="UCP19" s="85"/>
      <c r="UCQ19" s="85"/>
      <c r="UCR19" s="85"/>
      <c r="UCS19" s="85"/>
      <c r="UCT19" s="85"/>
      <c r="UCU19" s="85"/>
      <c r="UCV19" s="85"/>
      <c r="UCW19" s="85"/>
      <c r="UCX19" s="85"/>
      <c r="UCY19" s="85"/>
      <c r="UCZ19" s="85"/>
      <c r="UDA19" s="85"/>
      <c r="UDB19" s="85"/>
      <c r="UDC19" s="85"/>
      <c r="UDD19" s="85"/>
      <c r="UDE19" s="85"/>
      <c r="UDF19" s="85"/>
      <c r="UDG19" s="85"/>
      <c r="UDH19" s="85"/>
      <c r="UDI19" s="85"/>
      <c r="UDJ19" s="85"/>
      <c r="UDK19" s="85"/>
      <c r="UDL19" s="85"/>
      <c r="UDM19" s="85"/>
      <c r="UDN19" s="85"/>
      <c r="UDO19" s="85"/>
      <c r="UDP19" s="85"/>
      <c r="UDQ19" s="85"/>
      <c r="UDR19" s="85"/>
      <c r="UDS19" s="85"/>
      <c r="UDT19" s="85"/>
      <c r="UDU19" s="85"/>
      <c r="UDV19" s="85"/>
      <c r="UDW19" s="85"/>
      <c r="UDX19" s="85"/>
      <c r="UDY19" s="85"/>
      <c r="UDZ19" s="85"/>
      <c r="UEA19" s="85"/>
      <c r="UEB19" s="85"/>
      <c r="UEC19" s="85"/>
      <c r="UED19" s="85"/>
      <c r="UEE19" s="85"/>
      <c r="UEF19" s="85"/>
      <c r="UEG19" s="85"/>
      <c r="UEH19" s="85"/>
      <c r="UEI19" s="85"/>
      <c r="UEJ19" s="85"/>
      <c r="UEK19" s="85"/>
      <c r="UEL19" s="85"/>
      <c r="UEM19" s="85"/>
      <c r="UEN19" s="85"/>
      <c r="UEO19" s="85"/>
      <c r="UEP19" s="85"/>
      <c r="UEQ19" s="85"/>
      <c r="UER19" s="85"/>
      <c r="UES19" s="85"/>
      <c r="UET19" s="85"/>
      <c r="UEU19" s="85"/>
      <c r="UEV19" s="85"/>
      <c r="UEW19" s="85"/>
      <c r="UEX19" s="85"/>
      <c r="UEY19" s="85"/>
      <c r="UEZ19" s="85"/>
      <c r="UFA19" s="85"/>
      <c r="UFB19" s="85"/>
      <c r="UFC19" s="85"/>
      <c r="UFD19" s="85"/>
      <c r="UFE19" s="85"/>
      <c r="UFF19" s="85"/>
      <c r="UFG19" s="85"/>
      <c r="UFH19" s="85"/>
      <c r="UFI19" s="85"/>
      <c r="UFJ19" s="85"/>
      <c r="UFK19" s="85"/>
      <c r="UFL19" s="85"/>
      <c r="UFM19" s="85"/>
      <c r="UFN19" s="85"/>
      <c r="UFO19" s="85"/>
      <c r="UFP19" s="85"/>
      <c r="UFQ19" s="85"/>
      <c r="UFR19" s="85"/>
      <c r="UFS19" s="85"/>
      <c r="UFT19" s="85"/>
      <c r="UFU19" s="85"/>
      <c r="UFV19" s="85"/>
      <c r="UFW19" s="85"/>
      <c r="UFX19" s="85"/>
      <c r="UFY19" s="85"/>
      <c r="UFZ19" s="85"/>
      <c r="UGA19" s="85"/>
      <c r="UGB19" s="85"/>
      <c r="UGC19" s="85"/>
      <c r="UGD19" s="85"/>
      <c r="UGE19" s="85"/>
      <c r="UGF19" s="85"/>
      <c r="UGG19" s="85"/>
      <c r="UGH19" s="85"/>
      <c r="UGI19" s="85"/>
      <c r="UGJ19" s="85"/>
      <c r="UGK19" s="85"/>
      <c r="UGL19" s="85"/>
      <c r="UGM19" s="85"/>
      <c r="UGN19" s="85"/>
      <c r="UGO19" s="85"/>
      <c r="UGP19" s="85"/>
      <c r="UGQ19" s="85"/>
      <c r="UGR19" s="85"/>
      <c r="UGS19" s="85"/>
      <c r="UGT19" s="85"/>
      <c r="UGU19" s="85"/>
      <c r="UGV19" s="85"/>
      <c r="UGW19" s="85"/>
      <c r="UGX19" s="85"/>
      <c r="UGY19" s="85"/>
      <c r="UGZ19" s="85"/>
      <c r="UHA19" s="85"/>
      <c r="UHB19" s="85"/>
      <c r="UHC19" s="85"/>
      <c r="UHD19" s="85"/>
      <c r="UHE19" s="85"/>
      <c r="UHF19" s="85"/>
      <c r="UHG19" s="85"/>
      <c r="UHH19" s="85"/>
      <c r="UHI19" s="85"/>
      <c r="UHJ19" s="85"/>
      <c r="UHK19" s="85"/>
      <c r="UHL19" s="85"/>
      <c r="UHM19" s="85"/>
      <c r="UHN19" s="85"/>
      <c r="UHO19" s="85"/>
      <c r="UHP19" s="85"/>
      <c r="UHQ19" s="85"/>
      <c r="UHR19" s="85"/>
      <c r="UHS19" s="85"/>
      <c r="UHT19" s="85"/>
      <c r="UHU19" s="85"/>
      <c r="UHV19" s="85"/>
      <c r="UHW19" s="85"/>
      <c r="UHX19" s="85"/>
      <c r="UHY19" s="85"/>
      <c r="UHZ19" s="85"/>
      <c r="UIA19" s="85"/>
      <c r="UIB19" s="85"/>
      <c r="UIC19" s="85"/>
      <c r="UID19" s="85"/>
      <c r="UIE19" s="85"/>
      <c r="UIF19" s="85"/>
      <c r="UIG19" s="85"/>
      <c r="UIH19" s="85"/>
      <c r="UII19" s="85"/>
      <c r="UIJ19" s="85"/>
      <c r="UIK19" s="85"/>
      <c r="UIL19" s="85"/>
      <c r="UIM19" s="85"/>
      <c r="UIN19" s="85"/>
      <c r="UIO19" s="85"/>
      <c r="UIP19" s="85"/>
      <c r="UIQ19" s="85"/>
      <c r="UIR19" s="85"/>
      <c r="UIS19" s="85"/>
      <c r="UIT19" s="85"/>
      <c r="UIU19" s="85"/>
      <c r="UIV19" s="85"/>
      <c r="UIW19" s="85"/>
      <c r="UIX19" s="85"/>
      <c r="UIY19" s="85"/>
      <c r="UIZ19" s="85"/>
      <c r="UJA19" s="85"/>
      <c r="UJB19" s="85"/>
      <c r="UJC19" s="85"/>
      <c r="UJD19" s="85"/>
      <c r="UJE19" s="85"/>
      <c r="UJF19" s="85"/>
      <c r="UJG19" s="85"/>
      <c r="UJH19" s="85"/>
      <c r="UJI19" s="85"/>
      <c r="UJJ19" s="85"/>
      <c r="UJK19" s="85"/>
      <c r="UJL19" s="85"/>
      <c r="UJM19" s="85"/>
      <c r="UJN19" s="85"/>
      <c r="UJO19" s="85"/>
      <c r="UJP19" s="85"/>
      <c r="UJQ19" s="85"/>
      <c r="UJR19" s="85"/>
      <c r="UJS19" s="85"/>
      <c r="UJT19" s="85"/>
      <c r="UJU19" s="85"/>
      <c r="UJV19" s="85"/>
      <c r="UJW19" s="85"/>
      <c r="UJX19" s="85"/>
      <c r="UJY19" s="85"/>
      <c r="UJZ19" s="85"/>
      <c r="UKA19" s="85"/>
      <c r="UKB19" s="85"/>
      <c r="UKC19" s="85"/>
      <c r="UKD19" s="85"/>
      <c r="UKE19" s="85"/>
      <c r="UKF19" s="85"/>
      <c r="UKG19" s="85"/>
      <c r="UKH19" s="85"/>
      <c r="UKI19" s="85"/>
      <c r="UKJ19" s="85"/>
      <c r="UKK19" s="85"/>
      <c r="UKL19" s="85"/>
      <c r="UKM19" s="85"/>
      <c r="UKN19" s="85"/>
      <c r="UKO19" s="85"/>
      <c r="UKP19" s="85"/>
      <c r="UKQ19" s="85"/>
      <c r="UKR19" s="85"/>
      <c r="UKS19" s="85"/>
      <c r="UKT19" s="85"/>
      <c r="UKU19" s="85"/>
      <c r="UKV19" s="85"/>
      <c r="UKW19" s="85"/>
      <c r="UKX19" s="85"/>
      <c r="UKY19" s="85"/>
      <c r="UKZ19" s="85"/>
      <c r="ULA19" s="85"/>
      <c r="ULB19" s="85"/>
      <c r="ULC19" s="85"/>
      <c r="ULD19" s="85"/>
      <c r="ULE19" s="85"/>
      <c r="ULF19" s="85"/>
      <c r="ULG19" s="85"/>
      <c r="ULH19" s="85"/>
      <c r="ULI19" s="85"/>
      <c r="ULJ19" s="85"/>
      <c r="ULK19" s="85"/>
      <c r="ULL19" s="85"/>
      <c r="ULM19" s="85"/>
      <c r="ULN19" s="85"/>
      <c r="ULO19" s="85"/>
      <c r="ULP19" s="85"/>
      <c r="ULQ19" s="85"/>
      <c r="ULR19" s="85"/>
      <c r="ULS19" s="85"/>
      <c r="ULT19" s="85"/>
      <c r="ULU19" s="85"/>
      <c r="ULV19" s="85"/>
      <c r="ULW19" s="85"/>
      <c r="ULX19" s="85"/>
      <c r="ULY19" s="85"/>
      <c r="ULZ19" s="85"/>
      <c r="UMA19" s="85"/>
      <c r="UMB19" s="85"/>
      <c r="UMC19" s="85"/>
      <c r="UMD19" s="85"/>
      <c r="UME19" s="85"/>
      <c r="UMF19" s="85"/>
      <c r="UMG19" s="85"/>
      <c r="UMH19" s="85"/>
      <c r="UMI19" s="85"/>
      <c r="UMJ19" s="85"/>
      <c r="UMK19" s="85"/>
      <c r="UML19" s="85"/>
      <c r="UMM19" s="85"/>
      <c r="UMN19" s="85"/>
      <c r="UMO19" s="85"/>
      <c r="UMP19" s="85"/>
      <c r="UMQ19" s="85"/>
      <c r="UMR19" s="85"/>
      <c r="UMS19" s="85"/>
      <c r="UMT19" s="85"/>
      <c r="UMU19" s="85"/>
      <c r="UMV19" s="85"/>
      <c r="UMW19" s="85"/>
      <c r="UMX19" s="85"/>
      <c r="UMY19" s="85"/>
      <c r="UMZ19" s="85"/>
      <c r="UNA19" s="85"/>
      <c r="UNB19" s="85"/>
      <c r="UNC19" s="85"/>
      <c r="UND19" s="85"/>
      <c r="UNE19" s="85"/>
      <c r="UNF19" s="85"/>
      <c r="UNG19" s="85"/>
      <c r="UNH19" s="85"/>
      <c r="UNI19" s="85"/>
      <c r="UNJ19" s="85"/>
      <c r="UNK19" s="85"/>
      <c r="UNL19" s="85"/>
      <c r="UNM19" s="85"/>
      <c r="UNN19" s="85"/>
      <c r="UNO19" s="85"/>
      <c r="UNP19" s="85"/>
      <c r="UNQ19" s="85"/>
      <c r="UNR19" s="85"/>
      <c r="UNS19" s="85"/>
      <c r="UNT19" s="85"/>
      <c r="UNU19" s="85"/>
      <c r="UNV19" s="85"/>
      <c r="UNW19" s="85"/>
      <c r="UNX19" s="85"/>
      <c r="UNY19" s="85"/>
      <c r="UNZ19" s="85"/>
      <c r="UOA19" s="85"/>
      <c r="UOB19" s="85"/>
      <c r="UOC19" s="85"/>
      <c r="UOD19" s="85"/>
      <c r="UOE19" s="85"/>
      <c r="UOF19" s="85"/>
      <c r="UOG19" s="85"/>
      <c r="UOH19" s="85"/>
      <c r="UOI19" s="85"/>
      <c r="UOJ19" s="85"/>
      <c r="UOK19" s="85"/>
      <c r="UOL19" s="85"/>
      <c r="UOM19" s="85"/>
      <c r="UON19" s="85"/>
      <c r="UOO19" s="85"/>
      <c r="UOP19" s="85"/>
      <c r="UOQ19" s="85"/>
      <c r="UOR19" s="85"/>
      <c r="UOS19" s="85"/>
      <c r="UOT19" s="85"/>
      <c r="UOU19" s="85"/>
      <c r="UOV19" s="85"/>
      <c r="UOW19" s="85"/>
      <c r="UOX19" s="85"/>
      <c r="UOY19" s="85"/>
      <c r="UOZ19" s="85"/>
      <c r="UPA19" s="85"/>
      <c r="UPB19" s="85"/>
      <c r="UPC19" s="85"/>
      <c r="UPD19" s="85"/>
      <c r="UPE19" s="85"/>
      <c r="UPF19" s="85"/>
      <c r="UPG19" s="85"/>
      <c r="UPH19" s="85"/>
      <c r="UPI19" s="85"/>
      <c r="UPJ19" s="85"/>
      <c r="UPK19" s="85"/>
      <c r="UPL19" s="85"/>
      <c r="UPM19" s="85"/>
      <c r="UPN19" s="85"/>
      <c r="UPO19" s="85"/>
      <c r="UPP19" s="85"/>
      <c r="UPQ19" s="85"/>
      <c r="UPR19" s="85"/>
      <c r="UPS19" s="85"/>
      <c r="UPT19" s="85"/>
      <c r="UPU19" s="85"/>
      <c r="UPV19" s="85"/>
      <c r="UPW19" s="85"/>
      <c r="UPX19" s="85"/>
      <c r="UPY19" s="85"/>
      <c r="UPZ19" s="85"/>
      <c r="UQA19" s="85"/>
      <c r="UQB19" s="85"/>
      <c r="UQC19" s="85"/>
      <c r="UQD19" s="85"/>
      <c r="UQE19" s="85"/>
      <c r="UQF19" s="85"/>
      <c r="UQG19" s="85"/>
      <c r="UQH19" s="85"/>
      <c r="UQI19" s="85"/>
      <c r="UQJ19" s="85"/>
      <c r="UQK19" s="85"/>
      <c r="UQL19" s="85"/>
      <c r="UQM19" s="85"/>
      <c r="UQN19" s="85"/>
      <c r="UQO19" s="85"/>
      <c r="UQP19" s="85"/>
      <c r="UQQ19" s="85"/>
      <c r="UQR19" s="85"/>
      <c r="UQS19" s="85"/>
      <c r="UQT19" s="85"/>
      <c r="UQU19" s="85"/>
      <c r="UQV19" s="85"/>
      <c r="UQW19" s="85"/>
      <c r="UQX19" s="85"/>
      <c r="UQY19" s="85"/>
      <c r="UQZ19" s="85"/>
      <c r="URA19" s="85"/>
      <c r="URB19" s="85"/>
      <c r="URC19" s="85"/>
      <c r="URD19" s="85"/>
      <c r="URE19" s="85"/>
      <c r="URF19" s="85"/>
      <c r="URG19" s="85"/>
      <c r="URH19" s="85"/>
      <c r="URI19" s="85"/>
      <c r="URJ19" s="85"/>
      <c r="URK19" s="85"/>
      <c r="URL19" s="85"/>
      <c r="URM19" s="85"/>
      <c r="URN19" s="85"/>
      <c r="URO19" s="85"/>
      <c r="URP19" s="85"/>
      <c r="URQ19" s="85"/>
      <c r="URR19" s="85"/>
      <c r="URS19" s="85"/>
      <c r="URT19" s="85"/>
      <c r="URU19" s="85"/>
      <c r="URV19" s="85"/>
      <c r="URW19" s="85"/>
      <c r="URX19" s="85"/>
      <c r="URY19" s="85"/>
      <c r="URZ19" s="85"/>
      <c r="USA19" s="85"/>
      <c r="USB19" s="85"/>
      <c r="USC19" s="85"/>
      <c r="USD19" s="85"/>
      <c r="USE19" s="85"/>
      <c r="USF19" s="85"/>
      <c r="USG19" s="85"/>
      <c r="USH19" s="85"/>
      <c r="USI19" s="85"/>
      <c r="USJ19" s="85"/>
      <c r="USK19" s="85"/>
      <c r="USL19" s="85"/>
      <c r="USM19" s="85"/>
      <c r="USN19" s="85"/>
      <c r="USO19" s="85"/>
      <c r="USP19" s="85"/>
      <c r="USQ19" s="85"/>
      <c r="USR19" s="85"/>
      <c r="USS19" s="85"/>
      <c r="UST19" s="85"/>
      <c r="USU19" s="85"/>
      <c r="USV19" s="85"/>
      <c r="USW19" s="85"/>
      <c r="USX19" s="85"/>
      <c r="USY19" s="85"/>
      <c r="USZ19" s="85"/>
      <c r="UTA19" s="85"/>
      <c r="UTB19" s="85"/>
      <c r="UTC19" s="85"/>
      <c r="UTD19" s="85"/>
      <c r="UTE19" s="85"/>
      <c r="UTF19" s="85"/>
      <c r="UTG19" s="85"/>
      <c r="UTH19" s="85"/>
      <c r="UTI19" s="85"/>
      <c r="UTJ19" s="85"/>
      <c r="UTK19" s="85"/>
      <c r="UTL19" s="85"/>
      <c r="UTM19" s="85"/>
      <c r="UTN19" s="85"/>
      <c r="UTO19" s="85"/>
      <c r="UTP19" s="85"/>
      <c r="UTQ19" s="85"/>
      <c r="UTR19" s="85"/>
      <c r="UTS19" s="85"/>
      <c r="UTT19" s="85"/>
      <c r="UTU19" s="85"/>
      <c r="UTV19" s="85"/>
      <c r="UTW19" s="85"/>
      <c r="UTX19" s="85"/>
      <c r="UTY19" s="85"/>
      <c r="UTZ19" s="85"/>
      <c r="UUA19" s="85"/>
      <c r="UUB19" s="85"/>
      <c r="UUC19" s="85"/>
      <c r="UUD19" s="85"/>
      <c r="UUE19" s="85"/>
      <c r="UUF19" s="85"/>
      <c r="UUG19" s="85"/>
      <c r="UUH19" s="85"/>
      <c r="UUI19" s="85"/>
      <c r="UUJ19" s="85"/>
      <c r="UUK19" s="85"/>
      <c r="UUL19" s="85"/>
      <c r="UUM19" s="85"/>
      <c r="UUN19" s="85"/>
      <c r="UUO19" s="85"/>
      <c r="UUP19" s="85"/>
      <c r="UUQ19" s="85"/>
      <c r="UUR19" s="85"/>
      <c r="UUS19" s="85"/>
      <c r="UUT19" s="85"/>
      <c r="UUU19" s="85"/>
      <c r="UUV19" s="85"/>
      <c r="UUW19" s="85"/>
      <c r="UUX19" s="85"/>
      <c r="UUY19" s="85"/>
      <c r="UUZ19" s="85"/>
      <c r="UVA19" s="85"/>
      <c r="UVB19" s="85"/>
      <c r="UVC19" s="85"/>
      <c r="UVD19" s="85"/>
      <c r="UVE19" s="85"/>
      <c r="UVF19" s="85"/>
      <c r="UVG19" s="85"/>
      <c r="UVH19" s="85"/>
      <c r="UVI19" s="85"/>
      <c r="UVJ19" s="85"/>
      <c r="UVK19" s="85"/>
      <c r="UVL19" s="85"/>
      <c r="UVM19" s="85"/>
      <c r="UVN19" s="85"/>
      <c r="UVO19" s="85"/>
      <c r="UVP19" s="85"/>
      <c r="UVQ19" s="85"/>
      <c r="UVR19" s="85"/>
      <c r="UVS19" s="85"/>
      <c r="UVT19" s="85"/>
      <c r="UVU19" s="85"/>
      <c r="UVV19" s="85"/>
      <c r="UVW19" s="85"/>
      <c r="UVX19" s="85"/>
      <c r="UVY19" s="85"/>
      <c r="UVZ19" s="85"/>
      <c r="UWA19" s="85"/>
      <c r="UWB19" s="85"/>
      <c r="UWC19" s="85"/>
      <c r="UWD19" s="85"/>
      <c r="UWE19" s="85"/>
      <c r="UWF19" s="85"/>
      <c r="UWG19" s="85"/>
      <c r="UWH19" s="85"/>
      <c r="UWI19" s="85"/>
      <c r="UWJ19" s="85"/>
      <c r="UWK19" s="85"/>
      <c r="UWL19" s="85"/>
      <c r="UWM19" s="85"/>
      <c r="UWN19" s="85"/>
      <c r="UWO19" s="85"/>
      <c r="UWP19" s="85"/>
      <c r="UWQ19" s="85"/>
      <c r="UWR19" s="85"/>
      <c r="UWS19" s="85"/>
      <c r="UWT19" s="85"/>
      <c r="UWU19" s="85"/>
      <c r="UWV19" s="85"/>
      <c r="UWW19" s="85"/>
      <c r="UWX19" s="85"/>
      <c r="UWY19" s="85"/>
      <c r="UWZ19" s="85"/>
      <c r="UXA19" s="85"/>
      <c r="UXB19" s="85"/>
      <c r="UXC19" s="85"/>
      <c r="UXD19" s="85"/>
      <c r="UXE19" s="85"/>
      <c r="UXF19" s="85"/>
      <c r="UXG19" s="85"/>
      <c r="UXH19" s="85"/>
      <c r="UXI19" s="85"/>
      <c r="UXJ19" s="85"/>
      <c r="UXK19" s="85"/>
      <c r="UXL19" s="85"/>
      <c r="UXM19" s="85"/>
      <c r="UXN19" s="85"/>
      <c r="UXO19" s="85"/>
      <c r="UXP19" s="85"/>
      <c r="UXQ19" s="85"/>
      <c r="UXR19" s="85"/>
      <c r="UXS19" s="85"/>
      <c r="UXT19" s="85"/>
      <c r="UXU19" s="85"/>
      <c r="UXV19" s="85"/>
      <c r="UXW19" s="85"/>
      <c r="UXX19" s="85"/>
      <c r="UXY19" s="85"/>
      <c r="UXZ19" s="85"/>
      <c r="UYA19" s="85"/>
      <c r="UYB19" s="85"/>
      <c r="UYC19" s="85"/>
      <c r="UYD19" s="85"/>
      <c r="UYE19" s="85"/>
      <c r="UYF19" s="85"/>
      <c r="UYG19" s="85"/>
      <c r="UYH19" s="85"/>
      <c r="UYI19" s="85"/>
      <c r="UYJ19" s="85"/>
      <c r="UYK19" s="85"/>
      <c r="UYL19" s="85"/>
      <c r="UYM19" s="85"/>
      <c r="UYN19" s="85"/>
      <c r="UYO19" s="85"/>
      <c r="UYP19" s="85"/>
      <c r="UYQ19" s="85"/>
      <c r="UYR19" s="85"/>
      <c r="UYS19" s="85"/>
      <c r="UYT19" s="85"/>
      <c r="UYU19" s="85"/>
      <c r="UYV19" s="85"/>
      <c r="UYW19" s="85"/>
      <c r="UYX19" s="85"/>
      <c r="UYY19" s="85"/>
      <c r="UYZ19" s="85"/>
      <c r="UZA19" s="85"/>
      <c r="UZB19" s="85"/>
      <c r="UZC19" s="85"/>
      <c r="UZD19" s="85"/>
      <c r="UZE19" s="85"/>
      <c r="UZF19" s="85"/>
      <c r="UZG19" s="85"/>
      <c r="UZH19" s="85"/>
      <c r="UZI19" s="85"/>
      <c r="UZJ19" s="85"/>
      <c r="UZK19" s="85"/>
      <c r="UZL19" s="85"/>
      <c r="UZM19" s="85"/>
      <c r="UZN19" s="85"/>
      <c r="UZO19" s="85"/>
      <c r="UZP19" s="85"/>
      <c r="UZQ19" s="85"/>
      <c r="UZR19" s="85"/>
      <c r="UZS19" s="85"/>
      <c r="UZT19" s="85"/>
      <c r="UZU19" s="85"/>
      <c r="UZV19" s="85"/>
      <c r="UZW19" s="85"/>
      <c r="UZX19" s="85"/>
      <c r="UZY19" s="85"/>
      <c r="UZZ19" s="85"/>
      <c r="VAA19" s="85"/>
      <c r="VAB19" s="85"/>
      <c r="VAC19" s="85"/>
      <c r="VAD19" s="85"/>
      <c r="VAE19" s="85"/>
      <c r="VAF19" s="85"/>
      <c r="VAG19" s="85"/>
      <c r="VAH19" s="85"/>
      <c r="VAI19" s="85"/>
      <c r="VAJ19" s="85"/>
      <c r="VAK19" s="85"/>
      <c r="VAL19" s="85"/>
      <c r="VAM19" s="85"/>
      <c r="VAN19" s="85"/>
      <c r="VAO19" s="85"/>
      <c r="VAP19" s="85"/>
      <c r="VAQ19" s="85"/>
      <c r="VAR19" s="85"/>
      <c r="VAS19" s="85"/>
      <c r="VAT19" s="85"/>
      <c r="VAU19" s="85"/>
      <c r="VAV19" s="85"/>
      <c r="VAW19" s="85"/>
      <c r="VAX19" s="85"/>
      <c r="VAY19" s="85"/>
      <c r="VAZ19" s="85"/>
      <c r="VBA19" s="85"/>
      <c r="VBB19" s="85"/>
      <c r="VBC19" s="85"/>
      <c r="VBD19" s="85"/>
      <c r="VBE19" s="85"/>
      <c r="VBF19" s="85"/>
      <c r="VBG19" s="85"/>
      <c r="VBH19" s="85"/>
      <c r="VBI19" s="85"/>
      <c r="VBJ19" s="85"/>
      <c r="VBK19" s="85"/>
      <c r="VBL19" s="85"/>
      <c r="VBM19" s="85"/>
      <c r="VBN19" s="85"/>
      <c r="VBO19" s="85"/>
      <c r="VBP19" s="85"/>
      <c r="VBQ19" s="85"/>
      <c r="VBR19" s="85"/>
      <c r="VBS19" s="85"/>
      <c r="VBT19" s="85"/>
      <c r="VBU19" s="85"/>
      <c r="VBV19" s="85"/>
      <c r="VBW19" s="85"/>
      <c r="VBX19" s="85"/>
      <c r="VBY19" s="85"/>
      <c r="VBZ19" s="85"/>
      <c r="VCA19" s="85"/>
      <c r="VCB19" s="85"/>
      <c r="VCC19" s="85"/>
      <c r="VCD19" s="85"/>
      <c r="VCE19" s="85"/>
      <c r="VCF19" s="85"/>
      <c r="VCG19" s="85"/>
      <c r="VCH19" s="85"/>
      <c r="VCI19" s="85"/>
      <c r="VCJ19" s="85"/>
      <c r="VCK19" s="85"/>
      <c r="VCL19" s="85"/>
      <c r="VCM19" s="85"/>
      <c r="VCN19" s="85"/>
      <c r="VCO19" s="85"/>
      <c r="VCP19" s="85"/>
      <c r="VCQ19" s="85"/>
      <c r="VCR19" s="85"/>
      <c r="VCS19" s="85"/>
      <c r="VCT19" s="85"/>
      <c r="VCU19" s="85"/>
      <c r="VCV19" s="85"/>
      <c r="VCW19" s="85"/>
      <c r="VCX19" s="85"/>
      <c r="VCY19" s="85"/>
      <c r="VCZ19" s="85"/>
      <c r="VDA19" s="85"/>
      <c r="VDB19" s="85"/>
      <c r="VDC19" s="85"/>
      <c r="VDD19" s="85"/>
      <c r="VDE19" s="85"/>
      <c r="VDF19" s="85"/>
      <c r="VDG19" s="85"/>
      <c r="VDH19" s="85"/>
      <c r="VDI19" s="85"/>
      <c r="VDJ19" s="85"/>
      <c r="VDK19" s="85"/>
      <c r="VDL19" s="85"/>
      <c r="VDM19" s="85"/>
      <c r="VDN19" s="85"/>
      <c r="VDO19" s="85"/>
      <c r="VDP19" s="85"/>
      <c r="VDQ19" s="85"/>
      <c r="VDR19" s="85"/>
      <c r="VDS19" s="85"/>
      <c r="VDT19" s="85"/>
      <c r="VDU19" s="85"/>
      <c r="VDV19" s="85"/>
      <c r="VDW19" s="85"/>
      <c r="VDX19" s="85"/>
      <c r="VDY19" s="85"/>
      <c r="VDZ19" s="85"/>
      <c r="VEA19" s="85"/>
      <c r="VEB19" s="85"/>
      <c r="VEC19" s="85"/>
      <c r="VED19" s="85"/>
      <c r="VEE19" s="85"/>
      <c r="VEF19" s="85"/>
      <c r="VEG19" s="85"/>
      <c r="VEH19" s="85"/>
      <c r="VEI19" s="85"/>
      <c r="VEJ19" s="85"/>
      <c r="VEK19" s="85"/>
      <c r="VEL19" s="85"/>
      <c r="VEM19" s="85"/>
      <c r="VEN19" s="85"/>
      <c r="VEO19" s="85"/>
      <c r="VEP19" s="85"/>
      <c r="VEQ19" s="85"/>
      <c r="VER19" s="85"/>
      <c r="VES19" s="85"/>
      <c r="VET19" s="85"/>
      <c r="VEU19" s="85"/>
      <c r="VEV19" s="85"/>
      <c r="VEW19" s="85"/>
      <c r="VEX19" s="85"/>
      <c r="VEY19" s="85"/>
      <c r="VEZ19" s="85"/>
      <c r="VFA19" s="85"/>
      <c r="VFB19" s="85"/>
      <c r="VFC19" s="85"/>
      <c r="VFD19" s="85"/>
      <c r="VFE19" s="85"/>
      <c r="VFF19" s="85"/>
      <c r="VFG19" s="85"/>
      <c r="VFH19" s="85"/>
      <c r="VFI19" s="85"/>
      <c r="VFJ19" s="85"/>
      <c r="VFK19" s="85"/>
      <c r="VFL19" s="85"/>
      <c r="VFM19" s="85"/>
      <c r="VFN19" s="85"/>
      <c r="VFO19" s="85"/>
      <c r="VFP19" s="85"/>
      <c r="VFQ19" s="85"/>
      <c r="VFR19" s="85"/>
      <c r="VFS19" s="85"/>
      <c r="VFT19" s="85"/>
      <c r="VFU19" s="85"/>
      <c r="VFV19" s="85"/>
      <c r="VFW19" s="85"/>
      <c r="VFX19" s="85"/>
      <c r="VFY19" s="85"/>
      <c r="VFZ19" s="85"/>
      <c r="VGA19" s="85"/>
      <c r="VGB19" s="85"/>
      <c r="VGC19" s="85"/>
      <c r="VGD19" s="85"/>
      <c r="VGE19" s="85"/>
      <c r="VGF19" s="85"/>
      <c r="VGG19" s="85"/>
      <c r="VGH19" s="85"/>
      <c r="VGI19" s="85"/>
      <c r="VGJ19" s="85"/>
      <c r="VGK19" s="85"/>
      <c r="VGL19" s="85"/>
      <c r="VGM19" s="85"/>
      <c r="VGN19" s="85"/>
      <c r="VGO19" s="85"/>
      <c r="VGP19" s="85"/>
      <c r="VGQ19" s="85"/>
      <c r="VGR19" s="85"/>
      <c r="VGS19" s="85"/>
      <c r="VGT19" s="85"/>
      <c r="VGU19" s="85"/>
      <c r="VGV19" s="85"/>
      <c r="VGW19" s="85"/>
      <c r="VGX19" s="85"/>
      <c r="VGY19" s="85"/>
      <c r="VGZ19" s="85"/>
      <c r="VHA19" s="85"/>
      <c r="VHB19" s="85"/>
      <c r="VHC19" s="85"/>
      <c r="VHD19" s="85"/>
      <c r="VHE19" s="85"/>
      <c r="VHF19" s="85"/>
      <c r="VHG19" s="85"/>
      <c r="VHH19" s="85"/>
      <c r="VHI19" s="85"/>
      <c r="VHJ19" s="85"/>
      <c r="VHK19" s="85"/>
      <c r="VHL19" s="85"/>
      <c r="VHM19" s="85"/>
      <c r="VHN19" s="85"/>
      <c r="VHO19" s="85"/>
      <c r="VHP19" s="85"/>
      <c r="VHQ19" s="85"/>
      <c r="VHR19" s="85"/>
      <c r="VHS19" s="85"/>
      <c r="VHT19" s="85"/>
      <c r="VHU19" s="85"/>
      <c r="VHV19" s="85"/>
      <c r="VHW19" s="85"/>
      <c r="VHX19" s="85"/>
      <c r="VHY19" s="85"/>
      <c r="VHZ19" s="85"/>
      <c r="VIA19" s="85"/>
      <c r="VIB19" s="85"/>
      <c r="VIC19" s="85"/>
      <c r="VID19" s="85"/>
      <c r="VIE19" s="85"/>
      <c r="VIF19" s="85"/>
      <c r="VIG19" s="85"/>
      <c r="VIH19" s="85"/>
      <c r="VII19" s="85"/>
      <c r="VIJ19" s="85"/>
      <c r="VIK19" s="85"/>
      <c r="VIL19" s="85"/>
      <c r="VIM19" s="85"/>
      <c r="VIN19" s="85"/>
      <c r="VIO19" s="85"/>
      <c r="VIP19" s="85"/>
      <c r="VIQ19" s="85"/>
      <c r="VIR19" s="85"/>
      <c r="VIS19" s="85"/>
      <c r="VIT19" s="85"/>
      <c r="VIU19" s="85"/>
      <c r="VIV19" s="85"/>
      <c r="VIW19" s="85"/>
      <c r="VIX19" s="85"/>
      <c r="VIY19" s="85"/>
      <c r="VIZ19" s="85"/>
      <c r="VJA19" s="85"/>
      <c r="VJB19" s="85"/>
      <c r="VJC19" s="85"/>
      <c r="VJD19" s="85"/>
      <c r="VJE19" s="85"/>
      <c r="VJF19" s="85"/>
      <c r="VJG19" s="85"/>
      <c r="VJH19" s="85"/>
      <c r="VJI19" s="85"/>
      <c r="VJJ19" s="85"/>
      <c r="VJK19" s="85"/>
      <c r="VJL19" s="85"/>
      <c r="VJM19" s="85"/>
      <c r="VJN19" s="85"/>
      <c r="VJO19" s="85"/>
      <c r="VJP19" s="85"/>
      <c r="VJQ19" s="85"/>
      <c r="VJR19" s="85"/>
      <c r="VJS19" s="85"/>
      <c r="VJT19" s="85"/>
      <c r="VJU19" s="85"/>
      <c r="VJV19" s="85"/>
      <c r="VJW19" s="85"/>
      <c r="VJX19" s="85"/>
      <c r="VJY19" s="85"/>
      <c r="VJZ19" s="85"/>
      <c r="VKA19" s="85"/>
      <c r="VKB19" s="85"/>
      <c r="VKC19" s="85"/>
      <c r="VKD19" s="85"/>
      <c r="VKE19" s="85"/>
      <c r="VKF19" s="85"/>
      <c r="VKG19" s="85"/>
      <c r="VKH19" s="85"/>
      <c r="VKI19" s="85"/>
      <c r="VKJ19" s="85"/>
      <c r="VKK19" s="85"/>
      <c r="VKL19" s="85"/>
      <c r="VKM19" s="85"/>
      <c r="VKN19" s="85"/>
      <c r="VKO19" s="85"/>
      <c r="VKP19" s="85"/>
      <c r="VKQ19" s="85"/>
      <c r="VKR19" s="85"/>
      <c r="VKS19" s="85"/>
      <c r="VKT19" s="85"/>
      <c r="VKU19" s="85"/>
      <c r="VKV19" s="85"/>
      <c r="VKW19" s="85"/>
      <c r="VKX19" s="85"/>
      <c r="VKY19" s="85"/>
      <c r="VKZ19" s="85"/>
      <c r="VLA19" s="85"/>
      <c r="VLB19" s="85"/>
      <c r="VLC19" s="85"/>
      <c r="VLD19" s="85"/>
      <c r="VLE19" s="85"/>
      <c r="VLF19" s="85"/>
      <c r="VLG19" s="85"/>
      <c r="VLH19" s="85"/>
      <c r="VLI19" s="85"/>
      <c r="VLJ19" s="85"/>
      <c r="VLK19" s="85"/>
      <c r="VLL19" s="85"/>
      <c r="VLM19" s="85"/>
      <c r="VLN19" s="85"/>
      <c r="VLO19" s="85"/>
      <c r="VLP19" s="85"/>
      <c r="VLQ19" s="85"/>
      <c r="VLR19" s="85"/>
      <c r="VLS19" s="85"/>
      <c r="VLT19" s="85"/>
      <c r="VLU19" s="85"/>
      <c r="VLV19" s="85"/>
      <c r="VLW19" s="85"/>
      <c r="VLX19" s="85"/>
      <c r="VLY19" s="85"/>
      <c r="VLZ19" s="85"/>
      <c r="VMA19" s="85"/>
      <c r="VMB19" s="85"/>
      <c r="VMC19" s="85"/>
      <c r="VMD19" s="85"/>
      <c r="VME19" s="85"/>
      <c r="VMF19" s="85"/>
      <c r="VMG19" s="85"/>
      <c r="VMH19" s="85"/>
      <c r="VMI19" s="85"/>
      <c r="VMJ19" s="85"/>
      <c r="VMK19" s="85"/>
      <c r="VML19" s="85"/>
      <c r="VMM19" s="85"/>
      <c r="VMN19" s="85"/>
      <c r="VMO19" s="85"/>
      <c r="VMP19" s="85"/>
      <c r="VMQ19" s="85"/>
      <c r="VMR19" s="85"/>
      <c r="VMS19" s="85"/>
      <c r="VMT19" s="85"/>
      <c r="VMU19" s="85"/>
      <c r="VMV19" s="85"/>
      <c r="VMW19" s="85"/>
      <c r="VMX19" s="85"/>
      <c r="VMY19" s="85"/>
      <c r="VMZ19" s="85"/>
      <c r="VNA19" s="85"/>
      <c r="VNB19" s="85"/>
      <c r="VNC19" s="85"/>
      <c r="VND19" s="85"/>
      <c r="VNE19" s="85"/>
      <c r="VNF19" s="85"/>
      <c r="VNG19" s="85"/>
      <c r="VNH19" s="85"/>
      <c r="VNI19" s="85"/>
      <c r="VNJ19" s="85"/>
      <c r="VNK19" s="85"/>
      <c r="VNL19" s="85"/>
      <c r="VNM19" s="85"/>
      <c r="VNN19" s="85"/>
      <c r="VNO19" s="85"/>
      <c r="VNP19" s="85"/>
      <c r="VNQ19" s="85"/>
      <c r="VNR19" s="85"/>
      <c r="VNS19" s="85"/>
      <c r="VNT19" s="85"/>
      <c r="VNU19" s="85"/>
      <c r="VNV19" s="85"/>
      <c r="VNW19" s="85"/>
      <c r="VNX19" s="85"/>
      <c r="VNY19" s="85"/>
      <c r="VNZ19" s="85"/>
      <c r="VOA19" s="85"/>
      <c r="VOB19" s="85"/>
      <c r="VOC19" s="85"/>
      <c r="VOD19" s="85"/>
      <c r="VOE19" s="85"/>
      <c r="VOF19" s="85"/>
      <c r="VOG19" s="85"/>
      <c r="VOH19" s="85"/>
      <c r="VOI19" s="85"/>
      <c r="VOJ19" s="85"/>
      <c r="VOK19" s="85"/>
      <c r="VOL19" s="85"/>
      <c r="VOM19" s="85"/>
      <c r="VON19" s="85"/>
      <c r="VOO19" s="85"/>
      <c r="VOP19" s="85"/>
      <c r="VOQ19" s="85"/>
      <c r="VOR19" s="85"/>
      <c r="VOS19" s="85"/>
      <c r="VOT19" s="85"/>
      <c r="VOU19" s="85"/>
      <c r="VOV19" s="85"/>
      <c r="VOW19" s="85"/>
      <c r="VOX19" s="85"/>
      <c r="VOY19" s="85"/>
      <c r="VOZ19" s="85"/>
      <c r="VPA19" s="85"/>
      <c r="VPB19" s="85"/>
      <c r="VPC19" s="85"/>
      <c r="VPD19" s="85"/>
      <c r="VPE19" s="85"/>
      <c r="VPF19" s="85"/>
      <c r="VPG19" s="85"/>
      <c r="VPH19" s="85"/>
      <c r="VPI19" s="85"/>
      <c r="VPJ19" s="85"/>
      <c r="VPK19" s="85"/>
      <c r="VPL19" s="85"/>
      <c r="VPM19" s="85"/>
      <c r="VPN19" s="85"/>
      <c r="VPO19" s="85"/>
      <c r="VPP19" s="85"/>
      <c r="VPQ19" s="85"/>
      <c r="VPR19" s="85"/>
      <c r="VPS19" s="85"/>
      <c r="VPT19" s="85"/>
      <c r="VPU19" s="85"/>
      <c r="VPV19" s="85"/>
      <c r="VPW19" s="85"/>
      <c r="VPX19" s="85"/>
      <c r="VPY19" s="85"/>
      <c r="VPZ19" s="85"/>
      <c r="VQA19" s="85"/>
      <c r="VQB19" s="85"/>
      <c r="VQC19" s="85"/>
      <c r="VQD19" s="85"/>
      <c r="VQE19" s="85"/>
      <c r="VQF19" s="85"/>
      <c r="VQG19" s="85"/>
      <c r="VQH19" s="85"/>
      <c r="VQI19" s="85"/>
      <c r="VQJ19" s="85"/>
      <c r="VQK19" s="85"/>
      <c r="VQL19" s="85"/>
      <c r="VQM19" s="85"/>
      <c r="VQN19" s="85"/>
      <c r="VQO19" s="85"/>
      <c r="VQP19" s="85"/>
      <c r="VQQ19" s="85"/>
      <c r="VQR19" s="85"/>
      <c r="VQS19" s="85"/>
      <c r="VQT19" s="85"/>
      <c r="VQU19" s="85"/>
      <c r="VQV19" s="85"/>
      <c r="VQW19" s="85"/>
      <c r="VQX19" s="85"/>
      <c r="VQY19" s="85"/>
      <c r="VQZ19" s="85"/>
      <c r="VRA19" s="85"/>
      <c r="VRB19" s="85"/>
      <c r="VRC19" s="85"/>
      <c r="VRD19" s="85"/>
      <c r="VRE19" s="85"/>
      <c r="VRF19" s="85"/>
      <c r="VRG19" s="85"/>
      <c r="VRH19" s="85"/>
      <c r="VRI19" s="85"/>
      <c r="VRJ19" s="85"/>
      <c r="VRK19" s="85"/>
      <c r="VRL19" s="85"/>
      <c r="VRM19" s="85"/>
      <c r="VRN19" s="85"/>
      <c r="VRO19" s="85"/>
      <c r="VRP19" s="85"/>
      <c r="VRQ19" s="85"/>
      <c r="VRR19" s="85"/>
      <c r="VRS19" s="85"/>
      <c r="VRT19" s="85"/>
      <c r="VRU19" s="85"/>
      <c r="VRV19" s="85"/>
      <c r="VRW19" s="85"/>
      <c r="VRX19" s="85"/>
      <c r="VRY19" s="85"/>
      <c r="VRZ19" s="85"/>
      <c r="VSA19" s="85"/>
      <c r="VSB19" s="85"/>
      <c r="VSC19" s="85"/>
      <c r="VSD19" s="85"/>
      <c r="VSE19" s="85"/>
      <c r="VSF19" s="85"/>
      <c r="VSG19" s="85"/>
      <c r="VSH19" s="85"/>
      <c r="VSI19" s="85"/>
      <c r="VSJ19" s="85"/>
      <c r="VSK19" s="85"/>
      <c r="VSL19" s="85"/>
      <c r="VSM19" s="85"/>
      <c r="VSN19" s="85"/>
      <c r="VSO19" s="85"/>
      <c r="VSP19" s="85"/>
      <c r="VSQ19" s="85"/>
      <c r="VSR19" s="85"/>
      <c r="VSS19" s="85"/>
      <c r="VST19" s="85"/>
      <c r="VSU19" s="85"/>
      <c r="VSV19" s="85"/>
      <c r="VSW19" s="85"/>
      <c r="VSX19" s="85"/>
      <c r="VSY19" s="85"/>
      <c r="VSZ19" s="85"/>
      <c r="VTA19" s="85"/>
      <c r="VTB19" s="85"/>
      <c r="VTC19" s="85"/>
      <c r="VTD19" s="85"/>
      <c r="VTE19" s="85"/>
      <c r="VTF19" s="85"/>
      <c r="VTG19" s="85"/>
      <c r="VTH19" s="85"/>
      <c r="VTI19" s="85"/>
      <c r="VTJ19" s="85"/>
      <c r="VTK19" s="85"/>
      <c r="VTL19" s="85"/>
      <c r="VTM19" s="85"/>
      <c r="VTN19" s="85"/>
      <c r="VTO19" s="85"/>
      <c r="VTP19" s="85"/>
      <c r="VTQ19" s="85"/>
      <c r="VTR19" s="85"/>
      <c r="VTS19" s="85"/>
      <c r="VTT19" s="85"/>
      <c r="VTU19" s="85"/>
      <c r="VTV19" s="85"/>
      <c r="VTW19" s="85"/>
      <c r="VTX19" s="85"/>
      <c r="VTY19" s="85"/>
      <c r="VTZ19" s="85"/>
      <c r="VUA19" s="85"/>
      <c r="VUB19" s="85"/>
      <c r="VUC19" s="85"/>
      <c r="VUD19" s="85"/>
      <c r="VUE19" s="85"/>
      <c r="VUF19" s="85"/>
      <c r="VUG19" s="85"/>
      <c r="VUH19" s="85"/>
      <c r="VUI19" s="85"/>
      <c r="VUJ19" s="85"/>
      <c r="VUK19" s="85"/>
      <c r="VUL19" s="85"/>
      <c r="VUM19" s="85"/>
      <c r="VUN19" s="85"/>
      <c r="VUO19" s="85"/>
      <c r="VUP19" s="85"/>
      <c r="VUQ19" s="85"/>
      <c r="VUR19" s="85"/>
      <c r="VUS19" s="85"/>
      <c r="VUT19" s="85"/>
      <c r="VUU19" s="85"/>
      <c r="VUV19" s="85"/>
      <c r="VUW19" s="85"/>
      <c r="VUX19" s="85"/>
      <c r="VUY19" s="85"/>
      <c r="VUZ19" s="85"/>
      <c r="VVA19" s="85"/>
      <c r="VVB19" s="85"/>
      <c r="VVC19" s="85"/>
      <c r="VVD19" s="85"/>
      <c r="VVE19" s="85"/>
      <c r="VVF19" s="85"/>
      <c r="VVG19" s="85"/>
      <c r="VVH19" s="85"/>
      <c r="VVI19" s="85"/>
      <c r="VVJ19" s="85"/>
      <c r="VVK19" s="85"/>
      <c r="VVL19" s="85"/>
      <c r="VVM19" s="85"/>
      <c r="VVN19" s="85"/>
      <c r="VVO19" s="85"/>
      <c r="VVP19" s="85"/>
      <c r="VVQ19" s="85"/>
      <c r="VVR19" s="85"/>
      <c r="VVS19" s="85"/>
      <c r="VVT19" s="85"/>
      <c r="VVU19" s="85"/>
      <c r="VVV19" s="85"/>
      <c r="VVW19" s="85"/>
      <c r="VVX19" s="85"/>
      <c r="VVY19" s="85"/>
      <c r="VVZ19" s="85"/>
      <c r="VWA19" s="85"/>
      <c r="VWB19" s="85"/>
      <c r="VWC19" s="85"/>
      <c r="VWD19" s="85"/>
      <c r="VWE19" s="85"/>
      <c r="VWF19" s="85"/>
      <c r="VWG19" s="85"/>
      <c r="VWH19" s="85"/>
      <c r="VWI19" s="85"/>
      <c r="VWJ19" s="85"/>
      <c r="VWK19" s="85"/>
      <c r="VWL19" s="85"/>
      <c r="VWM19" s="85"/>
      <c r="VWN19" s="85"/>
      <c r="VWO19" s="85"/>
      <c r="VWP19" s="85"/>
      <c r="VWQ19" s="85"/>
      <c r="VWR19" s="85"/>
      <c r="VWS19" s="85"/>
      <c r="VWT19" s="85"/>
      <c r="VWU19" s="85"/>
      <c r="VWV19" s="85"/>
      <c r="VWW19" s="85"/>
      <c r="VWX19" s="85"/>
      <c r="VWY19" s="85"/>
      <c r="VWZ19" s="85"/>
      <c r="VXA19" s="85"/>
      <c r="VXB19" s="85"/>
      <c r="VXC19" s="85"/>
      <c r="VXD19" s="85"/>
      <c r="VXE19" s="85"/>
      <c r="VXF19" s="85"/>
      <c r="VXG19" s="85"/>
      <c r="VXH19" s="85"/>
      <c r="VXI19" s="85"/>
      <c r="VXJ19" s="85"/>
      <c r="VXK19" s="85"/>
      <c r="VXL19" s="85"/>
      <c r="VXM19" s="85"/>
      <c r="VXN19" s="85"/>
      <c r="VXO19" s="85"/>
      <c r="VXP19" s="85"/>
      <c r="VXQ19" s="85"/>
      <c r="VXR19" s="85"/>
      <c r="VXS19" s="85"/>
      <c r="VXT19" s="85"/>
      <c r="VXU19" s="85"/>
      <c r="VXV19" s="85"/>
      <c r="VXW19" s="85"/>
      <c r="VXX19" s="85"/>
      <c r="VXY19" s="85"/>
      <c r="VXZ19" s="85"/>
      <c r="VYA19" s="85"/>
      <c r="VYB19" s="85"/>
      <c r="VYC19" s="85"/>
      <c r="VYD19" s="85"/>
      <c r="VYE19" s="85"/>
      <c r="VYF19" s="85"/>
      <c r="VYG19" s="85"/>
      <c r="VYH19" s="85"/>
      <c r="VYI19" s="85"/>
      <c r="VYJ19" s="85"/>
      <c r="VYK19" s="85"/>
      <c r="VYL19" s="85"/>
      <c r="VYM19" s="85"/>
      <c r="VYN19" s="85"/>
      <c r="VYO19" s="85"/>
      <c r="VYP19" s="85"/>
      <c r="VYQ19" s="85"/>
      <c r="VYR19" s="85"/>
      <c r="VYS19" s="85"/>
      <c r="VYT19" s="85"/>
      <c r="VYU19" s="85"/>
      <c r="VYV19" s="85"/>
      <c r="VYW19" s="85"/>
      <c r="VYX19" s="85"/>
      <c r="VYY19" s="85"/>
      <c r="VYZ19" s="85"/>
      <c r="VZA19" s="85"/>
      <c r="VZB19" s="85"/>
      <c r="VZC19" s="85"/>
      <c r="VZD19" s="85"/>
      <c r="VZE19" s="85"/>
      <c r="VZF19" s="85"/>
      <c r="VZG19" s="85"/>
      <c r="VZH19" s="85"/>
      <c r="VZI19" s="85"/>
      <c r="VZJ19" s="85"/>
      <c r="VZK19" s="85"/>
      <c r="VZL19" s="85"/>
      <c r="VZM19" s="85"/>
      <c r="VZN19" s="85"/>
      <c r="VZO19" s="85"/>
      <c r="VZP19" s="85"/>
      <c r="VZQ19" s="85"/>
      <c r="VZR19" s="85"/>
      <c r="VZS19" s="85"/>
      <c r="VZT19" s="85"/>
      <c r="VZU19" s="85"/>
      <c r="VZV19" s="85"/>
      <c r="VZW19" s="85"/>
      <c r="VZX19" s="85"/>
      <c r="VZY19" s="85"/>
      <c r="VZZ19" s="85"/>
      <c r="WAA19" s="85"/>
      <c r="WAB19" s="85"/>
      <c r="WAC19" s="85"/>
      <c r="WAD19" s="85"/>
      <c r="WAE19" s="85"/>
      <c r="WAF19" s="85"/>
      <c r="WAG19" s="85"/>
      <c r="WAH19" s="85"/>
      <c r="WAI19" s="85"/>
      <c r="WAJ19" s="85"/>
      <c r="WAK19" s="85"/>
      <c r="WAL19" s="85"/>
      <c r="WAM19" s="85"/>
      <c r="WAN19" s="85"/>
      <c r="WAO19" s="85"/>
      <c r="WAP19" s="85"/>
      <c r="WAQ19" s="85"/>
      <c r="WAR19" s="85"/>
      <c r="WAS19" s="85"/>
      <c r="WAT19" s="85"/>
      <c r="WAU19" s="85"/>
      <c r="WAV19" s="85"/>
      <c r="WAW19" s="85"/>
      <c r="WAX19" s="85"/>
      <c r="WAY19" s="85"/>
      <c r="WAZ19" s="85"/>
      <c r="WBA19" s="85"/>
      <c r="WBB19" s="85"/>
      <c r="WBC19" s="85"/>
      <c r="WBD19" s="85"/>
      <c r="WBE19" s="85"/>
      <c r="WBF19" s="85"/>
      <c r="WBG19" s="85"/>
      <c r="WBH19" s="85"/>
      <c r="WBI19" s="85"/>
      <c r="WBJ19" s="85"/>
      <c r="WBK19" s="85"/>
      <c r="WBL19" s="85"/>
      <c r="WBM19" s="85"/>
      <c r="WBN19" s="85"/>
      <c r="WBO19" s="85"/>
      <c r="WBP19" s="85"/>
      <c r="WBQ19" s="85"/>
      <c r="WBR19" s="85"/>
      <c r="WBS19" s="85"/>
      <c r="WBT19" s="85"/>
      <c r="WBU19" s="85"/>
      <c r="WBV19" s="85"/>
      <c r="WBW19" s="85"/>
      <c r="WBX19" s="85"/>
      <c r="WBY19" s="85"/>
      <c r="WBZ19" s="85"/>
      <c r="WCA19" s="85"/>
      <c r="WCB19" s="85"/>
      <c r="WCC19" s="85"/>
      <c r="WCD19" s="85"/>
      <c r="WCE19" s="85"/>
      <c r="WCF19" s="85"/>
      <c r="WCG19" s="85"/>
      <c r="WCH19" s="85"/>
      <c r="WCI19" s="85"/>
      <c r="WCJ19" s="85"/>
      <c r="WCK19" s="85"/>
      <c r="WCL19" s="85"/>
      <c r="WCM19" s="85"/>
      <c r="WCN19" s="85"/>
      <c r="WCO19" s="85"/>
      <c r="WCP19" s="85"/>
      <c r="WCQ19" s="85"/>
      <c r="WCR19" s="85"/>
      <c r="WCS19" s="85"/>
      <c r="WCT19" s="85"/>
      <c r="WCU19" s="85"/>
      <c r="WCV19" s="85"/>
      <c r="WCW19" s="85"/>
      <c r="WCX19" s="85"/>
      <c r="WCY19" s="85"/>
      <c r="WCZ19" s="85"/>
      <c r="WDA19" s="85"/>
      <c r="WDB19" s="85"/>
      <c r="WDC19" s="85"/>
      <c r="WDD19" s="85"/>
      <c r="WDE19" s="85"/>
      <c r="WDF19" s="85"/>
      <c r="WDG19" s="85"/>
      <c r="WDH19" s="85"/>
      <c r="WDI19" s="85"/>
      <c r="WDJ19" s="85"/>
      <c r="WDK19" s="85"/>
      <c r="WDL19" s="85"/>
      <c r="WDM19" s="85"/>
      <c r="WDN19" s="85"/>
      <c r="WDO19" s="85"/>
      <c r="WDP19" s="85"/>
      <c r="WDQ19" s="85"/>
      <c r="WDR19" s="85"/>
      <c r="WDS19" s="85"/>
      <c r="WDT19" s="85"/>
      <c r="WDU19" s="85"/>
      <c r="WDV19" s="85"/>
      <c r="WDW19" s="85"/>
      <c r="WDX19" s="85"/>
      <c r="WDY19" s="85"/>
      <c r="WDZ19" s="85"/>
      <c r="WEA19" s="85"/>
      <c r="WEB19" s="85"/>
      <c r="WEC19" s="85"/>
      <c r="WED19" s="85"/>
      <c r="WEE19" s="85"/>
      <c r="WEF19" s="85"/>
      <c r="WEG19" s="85"/>
      <c r="WEH19" s="85"/>
      <c r="WEI19" s="85"/>
      <c r="WEJ19" s="85"/>
      <c r="WEK19" s="85"/>
      <c r="WEL19" s="85"/>
      <c r="WEM19" s="85"/>
      <c r="WEN19" s="85"/>
      <c r="WEO19" s="85"/>
      <c r="WEP19" s="85"/>
      <c r="WEQ19" s="85"/>
      <c r="WER19" s="85"/>
      <c r="WES19" s="85"/>
      <c r="WET19" s="85"/>
      <c r="WEU19" s="85"/>
      <c r="WEV19" s="85"/>
      <c r="WEW19" s="85"/>
      <c r="WEX19" s="85"/>
      <c r="WEY19" s="85"/>
      <c r="WEZ19" s="85"/>
      <c r="WFA19" s="85"/>
      <c r="WFB19" s="85"/>
      <c r="WFC19" s="85"/>
      <c r="WFD19" s="85"/>
      <c r="WFE19" s="85"/>
      <c r="WFF19" s="85"/>
      <c r="WFG19" s="85"/>
      <c r="WFH19" s="85"/>
      <c r="WFI19" s="85"/>
      <c r="WFJ19" s="85"/>
      <c r="WFK19" s="85"/>
      <c r="WFL19" s="85"/>
      <c r="WFM19" s="85"/>
      <c r="WFN19" s="85"/>
      <c r="WFO19" s="85"/>
      <c r="WFP19" s="85"/>
      <c r="WFQ19" s="85"/>
      <c r="WFR19" s="85"/>
      <c r="WFS19" s="85"/>
      <c r="WFT19" s="85"/>
      <c r="WFU19" s="85"/>
      <c r="WFV19" s="85"/>
      <c r="WFW19" s="85"/>
      <c r="WFX19" s="85"/>
      <c r="WFY19" s="85"/>
      <c r="WFZ19" s="85"/>
      <c r="WGA19" s="85"/>
      <c r="WGB19" s="85"/>
      <c r="WGC19" s="85"/>
      <c r="WGD19" s="85"/>
      <c r="WGE19" s="85"/>
      <c r="WGF19" s="85"/>
      <c r="WGG19" s="85"/>
      <c r="WGH19" s="85"/>
      <c r="WGI19" s="85"/>
      <c r="WGJ19" s="85"/>
      <c r="WGK19" s="85"/>
      <c r="WGL19" s="85"/>
      <c r="WGM19" s="85"/>
      <c r="WGN19" s="85"/>
      <c r="WGO19" s="85"/>
      <c r="WGP19" s="85"/>
      <c r="WGQ19" s="85"/>
      <c r="WGR19" s="85"/>
      <c r="WGS19" s="85"/>
      <c r="WGT19" s="85"/>
      <c r="WGU19" s="85"/>
      <c r="WGV19" s="85"/>
      <c r="WGW19" s="85"/>
      <c r="WGX19" s="85"/>
      <c r="WGY19" s="85"/>
      <c r="WGZ19" s="85"/>
      <c r="WHA19" s="85"/>
      <c r="WHB19" s="85"/>
      <c r="WHC19" s="85"/>
      <c r="WHD19" s="85"/>
      <c r="WHE19" s="85"/>
      <c r="WHF19" s="85"/>
      <c r="WHG19" s="85"/>
      <c r="WHH19" s="85"/>
      <c r="WHI19" s="85"/>
      <c r="WHJ19" s="85"/>
      <c r="WHK19" s="85"/>
      <c r="WHL19" s="85"/>
      <c r="WHM19" s="85"/>
      <c r="WHN19" s="85"/>
      <c r="WHO19" s="85"/>
      <c r="WHP19" s="85"/>
      <c r="WHQ19" s="85"/>
      <c r="WHR19" s="85"/>
      <c r="WHS19" s="85"/>
      <c r="WHT19" s="85"/>
      <c r="WHU19" s="85"/>
      <c r="WHV19" s="85"/>
      <c r="WHW19" s="85"/>
      <c r="WHX19" s="85"/>
      <c r="WHY19" s="85"/>
      <c r="WHZ19" s="85"/>
      <c r="WIA19" s="85"/>
      <c r="WIB19" s="85"/>
      <c r="WIC19" s="85"/>
      <c r="WID19" s="85"/>
      <c r="WIE19" s="85"/>
      <c r="WIF19" s="85"/>
      <c r="WIG19" s="85"/>
      <c r="WIH19" s="85"/>
      <c r="WII19" s="85"/>
      <c r="WIJ19" s="85"/>
      <c r="WIK19" s="85"/>
      <c r="WIL19" s="85"/>
      <c r="WIM19" s="85"/>
      <c r="WIN19" s="85"/>
      <c r="WIO19" s="85"/>
      <c r="WIP19" s="85"/>
      <c r="WIQ19" s="85"/>
      <c r="WIR19" s="85"/>
      <c r="WIS19" s="85"/>
      <c r="WIT19" s="85"/>
      <c r="WIU19" s="85"/>
      <c r="WIV19" s="85"/>
      <c r="WIW19" s="85"/>
      <c r="WIX19" s="85"/>
      <c r="WIY19" s="85"/>
      <c r="WIZ19" s="85"/>
      <c r="WJA19" s="85"/>
      <c r="WJB19" s="85"/>
      <c r="WJC19" s="85"/>
      <c r="WJD19" s="85"/>
      <c r="WJE19" s="85"/>
      <c r="WJF19" s="85"/>
      <c r="WJG19" s="85"/>
      <c r="WJH19" s="85"/>
      <c r="WJI19" s="85"/>
      <c r="WJJ19" s="85"/>
      <c r="WJK19" s="85"/>
      <c r="WJL19" s="85"/>
      <c r="WJM19" s="85"/>
      <c r="WJN19" s="85"/>
      <c r="WJO19" s="85"/>
      <c r="WJP19" s="85"/>
      <c r="WJQ19" s="85"/>
      <c r="WJR19" s="85"/>
      <c r="WJS19" s="85"/>
      <c r="WJT19" s="85"/>
      <c r="WJU19" s="85"/>
      <c r="WJV19" s="85"/>
      <c r="WJW19" s="85"/>
      <c r="WJX19" s="85"/>
      <c r="WJY19" s="85"/>
      <c r="WJZ19" s="85"/>
      <c r="WKA19" s="85"/>
      <c r="WKB19" s="85"/>
      <c r="WKC19" s="85"/>
      <c r="WKD19" s="85"/>
      <c r="WKE19" s="85"/>
      <c r="WKF19" s="85"/>
      <c r="WKG19" s="85"/>
      <c r="WKH19" s="85"/>
      <c r="WKI19" s="85"/>
      <c r="WKJ19" s="85"/>
      <c r="WKK19" s="85"/>
      <c r="WKL19" s="85"/>
      <c r="WKM19" s="85"/>
      <c r="WKN19" s="85"/>
      <c r="WKO19" s="85"/>
      <c r="WKP19" s="85"/>
      <c r="WKQ19" s="85"/>
      <c r="WKR19" s="85"/>
      <c r="WKS19" s="85"/>
      <c r="WKT19" s="85"/>
      <c r="WKU19" s="85"/>
      <c r="WKV19" s="85"/>
      <c r="WKW19" s="85"/>
      <c r="WKX19" s="85"/>
      <c r="WKY19" s="85"/>
      <c r="WKZ19" s="85"/>
      <c r="WLA19" s="85"/>
      <c r="WLB19" s="85"/>
      <c r="WLC19" s="85"/>
      <c r="WLD19" s="85"/>
      <c r="WLE19" s="85"/>
      <c r="WLF19" s="85"/>
      <c r="WLG19" s="85"/>
      <c r="WLH19" s="85"/>
      <c r="WLI19" s="85"/>
      <c r="WLJ19" s="85"/>
      <c r="WLK19" s="85"/>
      <c r="WLL19" s="85"/>
      <c r="WLM19" s="85"/>
      <c r="WLN19" s="85"/>
      <c r="WLO19" s="85"/>
      <c r="WLP19" s="85"/>
      <c r="WLQ19" s="85"/>
      <c r="WLR19" s="85"/>
      <c r="WLS19" s="85"/>
      <c r="WLT19" s="85"/>
      <c r="WLU19" s="85"/>
      <c r="WLV19" s="85"/>
      <c r="WLW19" s="85"/>
      <c r="WLX19" s="85"/>
      <c r="WLY19" s="85"/>
      <c r="WLZ19" s="85"/>
      <c r="WMA19" s="85"/>
      <c r="WMB19" s="85"/>
      <c r="WMC19" s="85"/>
      <c r="WMD19" s="85"/>
      <c r="WME19" s="85"/>
      <c r="WMF19" s="85"/>
      <c r="WMG19" s="85"/>
      <c r="WMH19" s="85"/>
      <c r="WMI19" s="85"/>
      <c r="WMJ19" s="85"/>
      <c r="WMK19" s="85"/>
      <c r="WML19" s="85"/>
      <c r="WMM19" s="85"/>
      <c r="WMN19" s="85"/>
      <c r="WMO19" s="85"/>
      <c r="WMP19" s="85"/>
      <c r="WMQ19" s="85"/>
      <c r="WMR19" s="85"/>
      <c r="WMS19" s="85"/>
      <c r="WMT19" s="85"/>
      <c r="WMU19" s="85"/>
      <c r="WMV19" s="85"/>
      <c r="WMW19" s="85"/>
      <c r="WMX19" s="85"/>
      <c r="WMY19" s="85"/>
      <c r="WMZ19" s="85"/>
      <c r="WNA19" s="85"/>
      <c r="WNB19" s="85"/>
      <c r="WNC19" s="85"/>
      <c r="WND19" s="85"/>
      <c r="WNE19" s="85"/>
      <c r="WNF19" s="85"/>
      <c r="WNG19" s="85"/>
      <c r="WNH19" s="85"/>
      <c r="WNI19" s="85"/>
      <c r="WNJ19" s="85"/>
      <c r="WNK19" s="85"/>
      <c r="WNL19" s="85"/>
      <c r="WNM19" s="85"/>
      <c r="WNN19" s="85"/>
      <c r="WNO19" s="85"/>
      <c r="WNP19" s="85"/>
      <c r="WNQ19" s="85"/>
      <c r="WNR19" s="85"/>
      <c r="WNS19" s="85"/>
      <c r="WNT19" s="85"/>
      <c r="WNU19" s="85"/>
      <c r="WNV19" s="85"/>
      <c r="WNW19" s="85"/>
      <c r="WNX19" s="85"/>
      <c r="WNY19" s="85"/>
      <c r="WNZ19" s="85"/>
      <c r="WOA19" s="85"/>
      <c r="WOB19" s="85"/>
      <c r="WOC19" s="85"/>
      <c r="WOD19" s="85"/>
      <c r="WOE19" s="85"/>
      <c r="WOF19" s="85"/>
      <c r="WOG19" s="85"/>
      <c r="WOH19" s="85"/>
      <c r="WOI19" s="85"/>
      <c r="WOJ19" s="85"/>
      <c r="WOK19" s="85"/>
      <c r="WOL19" s="85"/>
      <c r="WOM19" s="85"/>
      <c r="WON19" s="85"/>
      <c r="WOO19" s="85"/>
      <c r="WOP19" s="85"/>
      <c r="WOQ19" s="85"/>
      <c r="WOR19" s="85"/>
      <c r="WOS19" s="85"/>
      <c r="WOT19" s="85"/>
      <c r="WOU19" s="85"/>
      <c r="WOV19" s="85"/>
      <c r="WOW19" s="85"/>
      <c r="WOX19" s="85"/>
      <c r="WOY19" s="85"/>
      <c r="WOZ19" s="85"/>
      <c r="WPA19" s="85"/>
      <c r="WPB19" s="85"/>
      <c r="WPC19" s="85"/>
      <c r="WPD19" s="85"/>
      <c r="WPE19" s="85"/>
      <c r="WPF19" s="85"/>
      <c r="WPG19" s="85"/>
      <c r="WPH19" s="85"/>
      <c r="WPI19" s="85"/>
      <c r="WPJ19" s="85"/>
      <c r="WPK19" s="85"/>
      <c r="WPL19" s="85"/>
      <c r="WPM19" s="85"/>
      <c r="WPN19" s="85"/>
      <c r="WPO19" s="85"/>
      <c r="WPP19" s="85"/>
      <c r="WPQ19" s="85"/>
      <c r="WPR19" s="85"/>
      <c r="WPS19" s="85"/>
      <c r="WPT19" s="85"/>
      <c r="WPU19" s="85"/>
      <c r="WPV19" s="85"/>
      <c r="WPW19" s="85"/>
      <c r="WPX19" s="85"/>
      <c r="WPY19" s="85"/>
      <c r="WPZ19" s="85"/>
      <c r="WQA19" s="85"/>
      <c r="WQB19" s="85"/>
      <c r="WQC19" s="85"/>
      <c r="WQD19" s="85"/>
      <c r="WQE19" s="85"/>
      <c r="WQF19" s="85"/>
      <c r="WQG19" s="85"/>
      <c r="WQH19" s="85"/>
      <c r="WQI19" s="85"/>
      <c r="WQJ19" s="85"/>
      <c r="WQK19" s="85"/>
      <c r="WQL19" s="85"/>
      <c r="WQM19" s="85"/>
      <c r="WQN19" s="85"/>
      <c r="WQO19" s="85"/>
      <c r="WQP19" s="85"/>
      <c r="WQQ19" s="85"/>
      <c r="WQR19" s="85"/>
      <c r="WQS19" s="85"/>
      <c r="WQT19" s="85"/>
      <c r="WQU19" s="85"/>
      <c r="WQV19" s="85"/>
      <c r="WQW19" s="85"/>
      <c r="WQX19" s="85"/>
      <c r="WQY19" s="85"/>
      <c r="WQZ19" s="85"/>
      <c r="WRA19" s="85"/>
      <c r="WRB19" s="85"/>
      <c r="WRC19" s="85"/>
      <c r="WRD19" s="85"/>
      <c r="WRE19" s="85"/>
      <c r="WRF19" s="85"/>
      <c r="WRG19" s="85"/>
      <c r="WRH19" s="85"/>
      <c r="WRI19" s="85"/>
      <c r="WRJ19" s="85"/>
      <c r="WRK19" s="85"/>
      <c r="WRL19" s="85"/>
      <c r="WRM19" s="85"/>
      <c r="WRN19" s="85"/>
      <c r="WRO19" s="85"/>
      <c r="WRP19" s="85"/>
      <c r="WRQ19" s="85"/>
      <c r="WRR19" s="85"/>
      <c r="WRS19" s="85"/>
      <c r="WRT19" s="85"/>
      <c r="WRU19" s="85"/>
      <c r="WRV19" s="85"/>
      <c r="WRW19" s="85"/>
      <c r="WRX19" s="85"/>
      <c r="WRY19" s="85"/>
      <c r="WRZ19" s="85"/>
      <c r="WSA19" s="85"/>
      <c r="WSB19" s="85"/>
      <c r="WSC19" s="85"/>
      <c r="WSD19" s="85"/>
      <c r="WSE19" s="85"/>
      <c r="WSF19" s="85"/>
      <c r="WSG19" s="85"/>
      <c r="WSH19" s="85"/>
      <c r="WSI19" s="85"/>
      <c r="WSJ19" s="85"/>
      <c r="WSK19" s="85"/>
      <c r="WSL19" s="85"/>
      <c r="WSM19" s="85"/>
      <c r="WSN19" s="85"/>
      <c r="WSO19" s="85"/>
      <c r="WSP19" s="85"/>
      <c r="WSQ19" s="85"/>
      <c r="WSR19" s="85"/>
      <c r="WSS19" s="85"/>
      <c r="WST19" s="85"/>
      <c r="WSU19" s="85"/>
      <c r="WSV19" s="85"/>
      <c r="WSW19" s="85"/>
      <c r="WSX19" s="85"/>
      <c r="WSY19" s="85"/>
      <c r="WSZ19" s="85"/>
      <c r="WTA19" s="85"/>
      <c r="WTB19" s="85"/>
      <c r="WTC19" s="85"/>
      <c r="WTD19" s="85"/>
      <c r="WTE19" s="85"/>
      <c r="WTF19" s="85"/>
      <c r="WTG19" s="85"/>
      <c r="WTH19" s="85"/>
      <c r="WTI19" s="85"/>
      <c r="WTJ19" s="85"/>
      <c r="WTK19" s="85"/>
      <c r="WTL19" s="85"/>
      <c r="WTM19" s="85"/>
      <c r="WTN19" s="85"/>
      <c r="WTO19" s="85"/>
      <c r="WTP19" s="85"/>
      <c r="WTQ19" s="85"/>
      <c r="WTR19" s="85"/>
      <c r="WTS19" s="85"/>
      <c r="WTT19" s="85"/>
      <c r="WTU19" s="85"/>
      <c r="WTV19" s="85"/>
      <c r="WTW19" s="85"/>
      <c r="WTX19" s="85"/>
      <c r="WTY19" s="85"/>
      <c r="WTZ19" s="85"/>
      <c r="WUA19" s="85"/>
      <c r="WUB19" s="85"/>
      <c r="WUC19" s="85"/>
      <c r="WUD19" s="85"/>
      <c r="WUE19" s="85"/>
      <c r="WUF19" s="85"/>
      <c r="WUG19" s="85"/>
      <c r="WUH19" s="85"/>
      <c r="WUI19" s="85"/>
      <c r="WUJ19" s="85"/>
      <c r="WUK19" s="85"/>
      <c r="WUL19" s="85"/>
      <c r="WUM19" s="85"/>
      <c r="WUN19" s="85"/>
      <c r="WUO19" s="85"/>
      <c r="WUP19" s="85"/>
      <c r="WUQ19" s="85"/>
      <c r="WUR19" s="85"/>
      <c r="WUS19" s="85"/>
      <c r="WUT19" s="85"/>
      <c r="WUU19" s="85"/>
      <c r="WUV19" s="85"/>
      <c r="WUW19" s="85"/>
      <c r="WUX19" s="85"/>
      <c r="WUY19" s="85"/>
      <c r="WUZ19" s="85"/>
      <c r="WVA19" s="85"/>
      <c r="WVB19" s="85"/>
      <c r="WVC19" s="85"/>
      <c r="WVD19" s="85"/>
      <c r="WVE19" s="85"/>
      <c r="WVF19" s="85"/>
      <c r="WVG19" s="85"/>
      <c r="WVH19" s="85"/>
      <c r="WVI19" s="85"/>
      <c r="WVJ19" s="85"/>
      <c r="WVK19" s="85"/>
      <c r="WVL19" s="85"/>
      <c r="WVM19" s="85"/>
      <c r="WVN19" s="85"/>
      <c r="WVO19" s="85"/>
      <c r="WVP19" s="85"/>
      <c r="WVQ19" s="85"/>
      <c r="WVR19" s="85"/>
      <c r="WVS19" s="85"/>
      <c r="WVT19" s="85"/>
      <c r="WVU19" s="85"/>
      <c r="WVV19" s="85"/>
      <c r="WVW19" s="85"/>
      <c r="WVX19" s="85"/>
      <c r="WVY19" s="85"/>
      <c r="WVZ19" s="85"/>
      <c r="WWA19" s="85"/>
      <c r="WWB19" s="85"/>
      <c r="WWC19" s="85"/>
      <c r="WWD19" s="85"/>
      <c r="WWE19" s="85"/>
      <c r="WWF19" s="85"/>
      <c r="WWG19" s="85"/>
      <c r="WWH19" s="85"/>
      <c r="WWI19" s="85"/>
      <c r="WWJ19" s="85"/>
      <c r="WWK19" s="85"/>
      <c r="WWL19" s="85"/>
      <c r="WWM19" s="85"/>
      <c r="WWN19" s="85"/>
      <c r="WWO19" s="85"/>
      <c r="WWP19" s="85"/>
      <c r="WWQ19" s="85"/>
      <c r="WWR19" s="85"/>
      <c r="WWS19" s="85"/>
      <c r="WWT19" s="85"/>
      <c r="WWU19" s="85"/>
      <c r="WWV19" s="85"/>
      <c r="WWW19" s="85"/>
      <c r="WWX19" s="85"/>
      <c r="WWY19" s="85"/>
      <c r="WWZ19" s="85"/>
      <c r="WXA19" s="85"/>
      <c r="WXB19" s="85"/>
      <c r="WXC19" s="85"/>
      <c r="WXD19" s="85"/>
      <c r="WXE19" s="85"/>
      <c r="WXF19" s="85"/>
      <c r="WXG19" s="85"/>
      <c r="WXH19" s="85"/>
      <c r="WXI19" s="85"/>
      <c r="WXJ19" s="85"/>
      <c r="WXK19" s="85"/>
      <c r="WXL19" s="85"/>
      <c r="WXM19" s="85"/>
      <c r="WXN19" s="85"/>
      <c r="WXO19" s="85"/>
      <c r="WXP19" s="85"/>
      <c r="WXQ19" s="85"/>
      <c r="WXR19" s="85"/>
      <c r="WXS19" s="85"/>
      <c r="WXT19" s="85"/>
      <c r="WXU19" s="85"/>
      <c r="WXV19" s="85"/>
      <c r="WXW19" s="85"/>
      <c r="WXX19" s="85"/>
      <c r="WXY19" s="85"/>
      <c r="WXZ19" s="85"/>
      <c r="WYA19" s="85"/>
      <c r="WYB19" s="85"/>
      <c r="WYC19" s="85"/>
      <c r="WYD19" s="85"/>
      <c r="WYE19" s="85"/>
      <c r="WYF19" s="85"/>
      <c r="WYG19" s="85"/>
      <c r="WYH19" s="85"/>
      <c r="WYI19" s="85"/>
      <c r="WYJ19" s="85"/>
      <c r="WYK19" s="85"/>
      <c r="WYL19" s="85"/>
      <c r="WYM19" s="85"/>
      <c r="WYN19" s="85"/>
      <c r="WYO19" s="85"/>
      <c r="WYP19" s="85"/>
      <c r="WYQ19" s="85"/>
      <c r="WYR19" s="85"/>
      <c r="WYS19" s="85"/>
      <c r="WYT19" s="85"/>
      <c r="WYU19" s="85"/>
      <c r="WYV19" s="85"/>
      <c r="WYW19" s="85"/>
      <c r="WYX19" s="85"/>
      <c r="WYY19" s="85"/>
      <c r="WYZ19" s="85"/>
      <c r="WZA19" s="85"/>
      <c r="WZB19" s="85"/>
      <c r="WZC19" s="85"/>
      <c r="WZD19" s="85"/>
      <c r="WZE19" s="85"/>
      <c r="WZF19" s="85"/>
      <c r="WZG19" s="85"/>
      <c r="WZH19" s="85"/>
      <c r="WZI19" s="85"/>
      <c r="WZJ19" s="85"/>
      <c r="WZK19" s="85"/>
      <c r="WZL19" s="85"/>
      <c r="WZM19" s="85"/>
      <c r="WZN19" s="85"/>
      <c r="WZO19" s="85"/>
      <c r="WZP19" s="85"/>
      <c r="WZQ19" s="85"/>
      <c r="WZR19" s="85"/>
      <c r="WZS19" s="85"/>
      <c r="WZT19" s="85"/>
      <c r="WZU19" s="85"/>
      <c r="WZV19" s="85"/>
      <c r="WZW19" s="85"/>
      <c r="WZX19" s="85"/>
      <c r="WZY19" s="85"/>
      <c r="WZZ19" s="85"/>
      <c r="XAA19" s="85"/>
      <c r="XAB19" s="85"/>
      <c r="XAC19" s="85"/>
      <c r="XAD19" s="85"/>
      <c r="XAE19" s="85"/>
      <c r="XAF19" s="85"/>
      <c r="XAG19" s="85"/>
      <c r="XAH19" s="85"/>
      <c r="XAI19" s="85"/>
      <c r="XAJ19" s="85"/>
      <c r="XAK19" s="85"/>
      <c r="XAL19" s="85"/>
      <c r="XAM19" s="85"/>
      <c r="XAN19" s="85"/>
      <c r="XAO19" s="85"/>
      <c r="XAP19" s="85"/>
      <c r="XAQ19" s="85"/>
      <c r="XAR19" s="85"/>
      <c r="XAS19" s="85"/>
      <c r="XAT19" s="85"/>
      <c r="XAU19" s="85"/>
      <c r="XAV19" s="85"/>
      <c r="XAW19" s="85"/>
      <c r="XAX19" s="85"/>
      <c r="XAY19" s="85"/>
      <c r="XAZ19" s="85"/>
      <c r="XBA19" s="85"/>
      <c r="XBB19" s="85"/>
      <c r="XBC19" s="85"/>
      <c r="XBD19" s="85"/>
      <c r="XBE19" s="85"/>
      <c r="XBF19" s="85"/>
      <c r="XBG19" s="85"/>
      <c r="XBH19" s="85"/>
      <c r="XBI19" s="85"/>
      <c r="XBJ19" s="85"/>
      <c r="XBK19" s="85"/>
      <c r="XBL19" s="85"/>
      <c r="XBM19" s="85"/>
      <c r="XBN19" s="85"/>
      <c r="XBO19" s="85"/>
      <c r="XBP19" s="85"/>
      <c r="XBQ19" s="85"/>
      <c r="XBR19" s="85"/>
      <c r="XBS19" s="85"/>
      <c r="XBT19" s="85"/>
      <c r="XBU19" s="85"/>
      <c r="XBV19" s="85"/>
      <c r="XBW19" s="85"/>
      <c r="XBX19" s="85"/>
      <c r="XBY19" s="85"/>
      <c r="XBZ19" s="85"/>
      <c r="XCA19" s="85"/>
      <c r="XCB19" s="85"/>
      <c r="XCC19" s="85"/>
      <c r="XCD19" s="85"/>
      <c r="XCE19" s="85"/>
      <c r="XCF19" s="85"/>
      <c r="XCG19" s="85"/>
      <c r="XCH19" s="85"/>
      <c r="XCI19" s="85"/>
      <c r="XCJ19" s="85"/>
      <c r="XCK19" s="85"/>
      <c r="XCL19" s="85"/>
      <c r="XCM19" s="85"/>
      <c r="XCN19" s="85"/>
      <c r="XCO19" s="85"/>
      <c r="XCP19" s="85"/>
      <c r="XCQ19" s="85"/>
      <c r="XCR19" s="85"/>
      <c r="XCS19" s="85"/>
      <c r="XCT19" s="85"/>
      <c r="XCU19" s="85"/>
      <c r="XCV19" s="85"/>
      <c r="XCW19" s="85"/>
      <c r="XCX19" s="85"/>
      <c r="XCY19" s="85"/>
      <c r="XCZ19" s="85"/>
      <c r="XDA19" s="85"/>
      <c r="XDB19" s="85"/>
      <c r="XDC19" s="85"/>
      <c r="XDD19" s="85"/>
      <c r="XDE19" s="85"/>
      <c r="XDF19" s="85"/>
      <c r="XDG19" s="85"/>
      <c r="XDH19" s="85"/>
      <c r="XDI19" s="85"/>
      <c r="XDJ19" s="85"/>
      <c r="XDK19" s="85"/>
      <c r="XDL19" s="85"/>
      <c r="XDM19" s="85"/>
      <c r="XDN19" s="85"/>
      <c r="XDO19" s="85"/>
      <c r="XDP19" s="85"/>
      <c r="XDQ19" s="85"/>
      <c r="XDR19" s="85"/>
      <c r="XDS19" s="85"/>
      <c r="XDT19" s="85"/>
      <c r="XDU19" s="85"/>
      <c r="XDV19" s="85"/>
      <c r="XDW19" s="85"/>
      <c r="XDX19" s="85"/>
      <c r="XDY19" s="85"/>
      <c r="XDZ19" s="85"/>
      <c r="XEA19" s="85"/>
      <c r="XEB19" s="85"/>
      <c r="XEC19" s="85"/>
      <c r="XED19" s="85"/>
      <c r="XEE19" s="85"/>
      <c r="XEF19" s="85"/>
      <c r="XEG19" s="85"/>
      <c r="XEH19" s="85"/>
      <c r="XEI19" s="85"/>
      <c r="XEJ19" s="85"/>
      <c r="XEK19" s="85"/>
      <c r="XEL19" s="85"/>
      <c r="XEM19" s="85"/>
      <c r="XEN19" s="85"/>
      <c r="XEO19" s="85"/>
      <c r="XEP19" s="85"/>
      <c r="XEQ19" s="85"/>
      <c r="XER19" s="85"/>
      <c r="XES19" s="85"/>
      <c r="XET19" s="85"/>
      <c r="XEU19" s="85"/>
      <c r="XEV19" s="85"/>
      <c r="XEW19" s="85"/>
      <c r="XEX19" s="85"/>
    </row>
    <row r="20" ht="20" customHeight="1" spans="1:6">
      <c r="A20" s="54" t="s">
        <v>329</v>
      </c>
      <c r="B20" s="39">
        <f>SUM(B21:B22)</f>
        <v>700</v>
      </c>
      <c r="C20" s="39">
        <f>SUM(C21:C22)</f>
        <v>1100</v>
      </c>
      <c r="D20" s="39">
        <f>SUM(D21:D22)</f>
        <v>400</v>
      </c>
      <c r="E20" s="39">
        <f t="shared" si="0"/>
        <v>1100</v>
      </c>
      <c r="F20" s="100"/>
    </row>
    <row r="21" ht="37" customHeight="1" spans="1:9">
      <c r="A21" s="49" t="s">
        <v>330</v>
      </c>
      <c r="B21" s="39">
        <v>200</v>
      </c>
      <c r="C21" s="39">
        <v>200</v>
      </c>
      <c r="D21" s="39"/>
      <c r="E21" s="39">
        <f t="shared" si="0"/>
        <v>200</v>
      </c>
      <c r="F21" s="100" t="s">
        <v>331</v>
      </c>
      <c r="H21" s="85">
        <v>21201</v>
      </c>
      <c r="I21" s="85">
        <v>200</v>
      </c>
    </row>
    <row r="22" ht="20" customHeight="1" spans="1:9">
      <c r="A22" s="52" t="s">
        <v>332</v>
      </c>
      <c r="B22" s="39">
        <v>500</v>
      </c>
      <c r="C22" s="39">
        <v>900</v>
      </c>
      <c r="D22" s="39">
        <v>400</v>
      </c>
      <c r="E22" s="39">
        <f t="shared" si="0"/>
        <v>900</v>
      </c>
      <c r="F22" s="100" t="s">
        <v>333</v>
      </c>
      <c r="H22" s="85">
        <v>20103</v>
      </c>
      <c r="I22" s="85">
        <v>500</v>
      </c>
    </row>
    <row r="23" ht="20" customHeight="1" spans="1:9">
      <c r="A23" s="54" t="s">
        <v>334</v>
      </c>
      <c r="B23" s="39">
        <v>200</v>
      </c>
      <c r="C23" s="39">
        <f>80+100</f>
        <v>180</v>
      </c>
      <c r="D23" s="39"/>
      <c r="E23" s="39">
        <f t="shared" si="0"/>
        <v>200</v>
      </c>
      <c r="F23" s="100" t="s">
        <v>335</v>
      </c>
      <c r="H23" s="85">
        <v>20103</v>
      </c>
      <c r="I23" s="85">
        <v>200</v>
      </c>
    </row>
    <row r="24" ht="20" customHeight="1" spans="1:9">
      <c r="A24" s="54" t="s">
        <v>336</v>
      </c>
      <c r="B24" s="39">
        <f>600+900</f>
        <v>1500</v>
      </c>
      <c r="C24" s="39">
        <v>1707</v>
      </c>
      <c r="D24" s="39">
        <v>500</v>
      </c>
      <c r="E24" s="39">
        <f t="shared" si="0"/>
        <v>2000</v>
      </c>
      <c r="F24" s="100" t="s">
        <v>337</v>
      </c>
      <c r="H24" s="85">
        <v>20103</v>
      </c>
      <c r="I24" s="85">
        <v>600</v>
      </c>
    </row>
    <row r="25" ht="20" customHeight="1" spans="1:9">
      <c r="A25" s="98" t="s">
        <v>338</v>
      </c>
      <c r="B25" s="39">
        <f>300-100</f>
        <v>200</v>
      </c>
      <c r="C25" s="39">
        <v>200</v>
      </c>
      <c r="D25" s="39"/>
      <c r="E25" s="39">
        <v>200</v>
      </c>
      <c r="F25" s="100" t="s">
        <v>339</v>
      </c>
      <c r="H25" s="85">
        <v>20103</v>
      </c>
      <c r="I25" s="85">
        <v>300</v>
      </c>
    </row>
    <row r="26" ht="20" customHeight="1" spans="1:9">
      <c r="A26" s="98" t="s">
        <v>340</v>
      </c>
      <c r="B26" s="39">
        <v>200</v>
      </c>
      <c r="C26" s="39">
        <v>294</v>
      </c>
      <c r="D26" s="39">
        <v>100</v>
      </c>
      <c r="E26" s="39">
        <f t="shared" si="0"/>
        <v>300</v>
      </c>
      <c r="F26" s="100" t="s">
        <v>341</v>
      </c>
      <c r="H26" s="85">
        <v>20103</v>
      </c>
      <c r="I26" s="85">
        <v>300</v>
      </c>
    </row>
    <row r="27" ht="20" customHeight="1" spans="1:9">
      <c r="A27" s="54" t="s">
        <v>342</v>
      </c>
      <c r="B27" s="39">
        <v>1000</v>
      </c>
      <c r="C27" s="39">
        <v>1045</v>
      </c>
      <c r="D27" s="39">
        <v>100</v>
      </c>
      <c r="E27" s="39">
        <f t="shared" si="0"/>
        <v>1100</v>
      </c>
      <c r="F27" s="100"/>
      <c r="H27" s="85">
        <v>20701</v>
      </c>
      <c r="I27" s="85">
        <v>1000</v>
      </c>
    </row>
    <row r="28" ht="20" customHeight="1" spans="1:6">
      <c r="A28" s="98" t="s">
        <v>343</v>
      </c>
      <c r="B28" s="39">
        <f>SUM(B29:B30)</f>
        <v>1150</v>
      </c>
      <c r="C28" s="39">
        <f>SUM(C29:C30)</f>
        <v>1331</v>
      </c>
      <c r="D28" s="39">
        <f>SUM(D29:D30)</f>
        <v>500</v>
      </c>
      <c r="E28" s="39">
        <f t="shared" si="0"/>
        <v>1650</v>
      </c>
      <c r="F28" s="100"/>
    </row>
    <row r="29" ht="20" customHeight="1" spans="1:9">
      <c r="A29" s="49" t="s">
        <v>344</v>
      </c>
      <c r="B29" s="39">
        <v>500</v>
      </c>
      <c r="C29" s="39">
        <v>500</v>
      </c>
      <c r="D29" s="39"/>
      <c r="E29" s="39">
        <f t="shared" si="0"/>
        <v>500</v>
      </c>
      <c r="F29" s="100"/>
      <c r="H29" s="85">
        <v>21203</v>
      </c>
      <c r="I29" s="85">
        <v>500</v>
      </c>
    </row>
    <row r="30" ht="20" customHeight="1" spans="1:9">
      <c r="A30" s="49" t="s">
        <v>345</v>
      </c>
      <c r="B30" s="39">
        <v>650</v>
      </c>
      <c r="C30" s="39">
        <f>754+77</f>
        <v>831</v>
      </c>
      <c r="D30" s="39">
        <v>500</v>
      </c>
      <c r="E30" s="39">
        <f t="shared" si="0"/>
        <v>1150</v>
      </c>
      <c r="F30" s="100"/>
      <c r="H30" s="85">
        <v>21203</v>
      </c>
      <c r="I30" s="85">
        <v>650</v>
      </c>
    </row>
    <row r="31" ht="20" customHeight="1" spans="1:14">
      <c r="A31" s="98" t="s">
        <v>346</v>
      </c>
      <c r="B31" s="39">
        <v>450</v>
      </c>
      <c r="C31" s="39">
        <v>450</v>
      </c>
      <c r="D31" s="39">
        <v>800</v>
      </c>
      <c r="E31" s="39">
        <f t="shared" si="0"/>
        <v>1250</v>
      </c>
      <c r="F31" s="100" t="s">
        <v>347</v>
      </c>
      <c r="N31" s="85" t="s">
        <v>348</v>
      </c>
    </row>
    <row r="32" ht="20" customHeight="1" spans="1:9">
      <c r="A32" s="98" t="s">
        <v>349</v>
      </c>
      <c r="B32" s="39">
        <v>500</v>
      </c>
      <c r="C32" s="39">
        <v>258</v>
      </c>
      <c r="D32" s="39"/>
      <c r="E32" s="39">
        <f t="shared" si="0"/>
        <v>500</v>
      </c>
      <c r="F32" s="100" t="s">
        <v>350</v>
      </c>
      <c r="H32" s="85">
        <v>20103</v>
      </c>
      <c r="I32" s="85">
        <v>500</v>
      </c>
    </row>
    <row r="33" ht="20" customHeight="1" spans="1:6">
      <c r="A33" s="98" t="s">
        <v>351</v>
      </c>
      <c r="B33" s="39">
        <f>380+100</f>
        <v>480</v>
      </c>
      <c r="C33" s="39">
        <f>468</f>
        <v>468</v>
      </c>
      <c r="D33" s="39">
        <f>400+500+650</f>
        <v>1550</v>
      </c>
      <c r="E33" s="39">
        <f t="shared" si="0"/>
        <v>2030</v>
      </c>
      <c r="F33" s="100"/>
    </row>
    <row r="34" ht="31" customHeight="1" spans="1:14">
      <c r="A34" s="98" t="s">
        <v>352</v>
      </c>
      <c r="B34" s="39"/>
      <c r="C34" s="39">
        <v>800</v>
      </c>
      <c r="D34" s="39">
        <f>500+300+100</f>
        <v>900</v>
      </c>
      <c r="E34" s="39">
        <f t="shared" si="0"/>
        <v>900</v>
      </c>
      <c r="F34" s="100" t="s">
        <v>353</v>
      </c>
      <c r="H34" s="85">
        <v>20103</v>
      </c>
      <c r="I34" s="85">
        <v>300</v>
      </c>
      <c r="N34" s="85" t="s">
        <v>354</v>
      </c>
    </row>
    <row r="35" ht="20" customHeight="1" spans="1:9">
      <c r="A35" s="98" t="s">
        <v>355</v>
      </c>
      <c r="B35" s="39">
        <v>300</v>
      </c>
      <c r="C35" s="39">
        <v>1201</v>
      </c>
      <c r="D35" s="39">
        <v>1000</v>
      </c>
      <c r="E35" s="39">
        <f t="shared" si="0"/>
        <v>1300</v>
      </c>
      <c r="F35" s="100"/>
      <c r="H35" s="85">
        <v>20402</v>
      </c>
      <c r="I35" s="85">
        <v>200</v>
      </c>
    </row>
    <row r="36" ht="20" customHeight="1" spans="1:9">
      <c r="A36" s="98" t="s">
        <v>356</v>
      </c>
      <c r="B36" s="39">
        <v>3100</v>
      </c>
      <c r="C36" s="39">
        <v>2291</v>
      </c>
      <c r="D36" s="39">
        <v>1700</v>
      </c>
      <c r="E36" s="39">
        <f t="shared" si="0"/>
        <v>4800</v>
      </c>
      <c r="F36" s="100"/>
      <c r="H36" s="85">
        <v>20103</v>
      </c>
      <c r="I36" s="85">
        <v>3100</v>
      </c>
    </row>
    <row r="37" ht="30" customHeight="1" spans="1:9">
      <c r="A37" s="98" t="s">
        <v>357</v>
      </c>
      <c r="B37" s="39">
        <f>5105-60-400+818+1000+50-50-200-100-1000</f>
        <v>5163</v>
      </c>
      <c r="C37" s="39">
        <v>8990</v>
      </c>
      <c r="D37" s="82">
        <v>4072</v>
      </c>
      <c r="E37" s="39">
        <f t="shared" si="0"/>
        <v>9235</v>
      </c>
      <c r="F37" s="100" t="s">
        <v>358</v>
      </c>
      <c r="H37" s="85">
        <v>21305</v>
      </c>
      <c r="I37" s="85">
        <v>1819</v>
      </c>
    </row>
    <row r="38" ht="20" customHeight="1" spans="1:9">
      <c r="A38" s="98" t="s">
        <v>359</v>
      </c>
      <c r="B38" s="112"/>
      <c r="C38" s="113">
        <v>147</v>
      </c>
      <c r="D38" s="39">
        <v>147</v>
      </c>
      <c r="E38" s="39">
        <v>147</v>
      </c>
      <c r="F38" s="49"/>
      <c r="H38" s="85">
        <v>23203</v>
      </c>
      <c r="I38" s="85">
        <v>6404</v>
      </c>
    </row>
    <row r="39" ht="35" customHeight="1" spans="1:1">
      <c r="A39" s="114"/>
    </row>
    <row r="40" ht="13.5" spans="1:1">
      <c r="A40" s="114"/>
    </row>
    <row r="41" ht="13.5" spans="1:1">
      <c r="A41" s="114"/>
    </row>
    <row r="42" ht="13.5" spans="1:1">
      <c r="A42" s="114"/>
    </row>
    <row r="43" ht="13.5" spans="1:1">
      <c r="A43" s="114"/>
    </row>
    <row r="44" ht="13.5" spans="1:1">
      <c r="A44" s="114"/>
    </row>
    <row r="45" ht="13.5" spans="1:1">
      <c r="A45" s="114"/>
    </row>
    <row r="46" ht="13.5" spans="1:1">
      <c r="A46" s="114"/>
    </row>
    <row r="47" ht="13.5" spans="1:1">
      <c r="A47" s="114"/>
    </row>
    <row r="48" ht="13.5" spans="1:1">
      <c r="A48" s="114"/>
    </row>
    <row r="49" ht="13.5" spans="1:1">
      <c r="A49" s="114"/>
    </row>
    <row r="50" ht="13.5" spans="1:1">
      <c r="A50" s="114"/>
    </row>
    <row r="51" ht="13.5" spans="1:1">
      <c r="A51" s="114"/>
    </row>
    <row r="52" ht="13.5" spans="1:1">
      <c r="A52" s="114"/>
    </row>
    <row r="53" ht="13.5" spans="1:1">
      <c r="A53" s="114"/>
    </row>
    <row r="54" ht="13.5" spans="1:1">
      <c r="A54" s="114"/>
    </row>
    <row r="55" ht="13.5" spans="1:1">
      <c r="A55" s="114"/>
    </row>
    <row r="56" ht="13.5" spans="1:1">
      <c r="A56" s="114"/>
    </row>
    <row r="57" ht="13.5" spans="1:1">
      <c r="A57" s="114"/>
    </row>
    <row r="58" ht="13.5" spans="1:1">
      <c r="A58" s="114"/>
    </row>
    <row r="59" ht="13.5" spans="1:1">
      <c r="A59" s="114"/>
    </row>
    <row r="60" ht="13.5" spans="1:1">
      <c r="A60" s="114"/>
    </row>
    <row r="61" ht="13.5" spans="1:1">
      <c r="A61" s="114"/>
    </row>
    <row r="62" ht="13.5" spans="1:1">
      <c r="A62" s="114"/>
    </row>
    <row r="63" ht="13.5" spans="1:1">
      <c r="A63" s="114"/>
    </row>
    <row r="64" ht="13.5" spans="1:1">
      <c r="A64" s="114"/>
    </row>
    <row r="65" ht="13.5" spans="1:1">
      <c r="A65" s="114"/>
    </row>
    <row r="66" ht="13.5" spans="1:1">
      <c r="A66" s="114"/>
    </row>
    <row r="67" ht="13.5" spans="1:1">
      <c r="A67" s="114"/>
    </row>
    <row r="68" ht="13.5" spans="1:1">
      <c r="A68" s="114"/>
    </row>
    <row r="69" ht="13.5" spans="1:1">
      <c r="A69" s="114"/>
    </row>
    <row r="70" ht="13.5" spans="1:1">
      <c r="A70" s="114"/>
    </row>
    <row r="71" ht="13.5" spans="1:1">
      <c r="A71" s="114"/>
    </row>
    <row r="72" ht="13.5" spans="1:1">
      <c r="A72" s="114"/>
    </row>
    <row r="73" ht="13.5" spans="1:1">
      <c r="A73" s="114"/>
    </row>
    <row r="74" ht="13.5" spans="1:1">
      <c r="A74" s="114"/>
    </row>
    <row r="75" ht="13.5" spans="1:1">
      <c r="A75" s="114"/>
    </row>
    <row r="76" ht="13.5" spans="1:1">
      <c r="A76" s="114"/>
    </row>
    <row r="77" ht="13.5" spans="1:1">
      <c r="A77" s="114"/>
    </row>
    <row r="78" ht="13.5" spans="1:1">
      <c r="A78" s="114"/>
    </row>
    <row r="79" ht="13.5" spans="1:1">
      <c r="A79" s="114"/>
    </row>
    <row r="80" ht="13.5" spans="1:1">
      <c r="A80" s="114"/>
    </row>
    <row r="81" ht="13.5" spans="1:1">
      <c r="A81" s="114"/>
    </row>
    <row r="82" ht="13.5" spans="1:1">
      <c r="A82" s="114"/>
    </row>
    <row r="83" ht="13.5" spans="1:1">
      <c r="A83" s="114"/>
    </row>
    <row r="84" ht="13.5" spans="1:1">
      <c r="A84" s="114"/>
    </row>
    <row r="85" ht="13.5" spans="1:1">
      <c r="A85" s="114"/>
    </row>
    <row r="86" ht="13.5" spans="1:1">
      <c r="A86" s="114"/>
    </row>
    <row r="87" ht="13.5" spans="1:1">
      <c r="A87" s="114"/>
    </row>
    <row r="88" ht="13.5" spans="1:1">
      <c r="A88" s="114"/>
    </row>
    <row r="89" ht="13.5" spans="1:1">
      <c r="A89" s="114"/>
    </row>
    <row r="90" ht="13.5" spans="1:1">
      <c r="A90" s="114"/>
    </row>
    <row r="91" ht="13.5" spans="1:1">
      <c r="A91" s="114"/>
    </row>
    <row r="92" ht="13.5" spans="1:1">
      <c r="A92" s="114"/>
    </row>
    <row r="93" ht="13.5" spans="1:1">
      <c r="A93" s="114"/>
    </row>
    <row r="94" ht="13.5" spans="1:1">
      <c r="A94" s="114"/>
    </row>
    <row r="95" ht="13.5" spans="1:1">
      <c r="A95" s="114"/>
    </row>
    <row r="96" ht="13.5" spans="1:1">
      <c r="A96" s="114"/>
    </row>
    <row r="97" ht="13.5" spans="1:1">
      <c r="A97" s="114"/>
    </row>
    <row r="98" ht="13.5" spans="1:1">
      <c r="A98" s="114"/>
    </row>
    <row r="99" ht="13.5" spans="1:1">
      <c r="A99" s="114"/>
    </row>
    <row r="100" ht="13.5" spans="1:1">
      <c r="A100" s="114"/>
    </row>
    <row r="101" ht="13.5" spans="1:1">
      <c r="A101" s="114"/>
    </row>
    <row r="102" ht="13.5" spans="1:1">
      <c r="A102" s="114"/>
    </row>
    <row r="103" ht="13.5" spans="1:1">
      <c r="A103" s="114"/>
    </row>
    <row r="104" ht="13.5" spans="1:1">
      <c r="A104" s="114"/>
    </row>
    <row r="105" ht="13.5" spans="1:1">
      <c r="A105" s="114"/>
    </row>
    <row r="106" ht="13.5" spans="1:1">
      <c r="A106" s="114"/>
    </row>
    <row r="107" ht="13.5" spans="1:1">
      <c r="A107" s="114"/>
    </row>
    <row r="108" ht="13.5" spans="1:1">
      <c r="A108" s="114"/>
    </row>
    <row r="109" ht="13.5" spans="1:1">
      <c r="A109" s="114"/>
    </row>
    <row r="110" ht="13.5" spans="1:1">
      <c r="A110" s="114"/>
    </row>
    <row r="111" ht="13.5" spans="1:1">
      <c r="A111" s="114"/>
    </row>
    <row r="112" ht="13.5" spans="1:1">
      <c r="A112" s="114"/>
    </row>
    <row r="113" ht="13.5" spans="1:1">
      <c r="A113" s="114"/>
    </row>
    <row r="114" ht="13.5" spans="1:1">
      <c r="A114" s="114"/>
    </row>
    <row r="115" ht="13.5" spans="1:1">
      <c r="A115" s="114"/>
    </row>
    <row r="116" ht="13.5" spans="1:1">
      <c r="A116" s="114"/>
    </row>
    <row r="117" ht="13.5" spans="1:1">
      <c r="A117" s="114"/>
    </row>
    <row r="118" ht="13.5" spans="1:1">
      <c r="A118" s="114"/>
    </row>
    <row r="119" ht="13.5" spans="1:1">
      <c r="A119" s="114"/>
    </row>
    <row r="120" ht="13.5" spans="1:1">
      <c r="A120" s="114"/>
    </row>
    <row r="121" ht="13.5" spans="1:1">
      <c r="A121" s="114"/>
    </row>
    <row r="122" ht="13.5" spans="1:1">
      <c r="A122" s="114"/>
    </row>
    <row r="123" ht="13.5" spans="1:1">
      <c r="A123" s="114"/>
    </row>
    <row r="124" ht="13.5" spans="1:1">
      <c r="A124" s="114"/>
    </row>
    <row r="125" ht="13.5" spans="1:1">
      <c r="A125" s="114"/>
    </row>
    <row r="126" ht="13.5" spans="1:1">
      <c r="A126" s="114"/>
    </row>
    <row r="127" ht="13.5" spans="1:1">
      <c r="A127" s="114"/>
    </row>
    <row r="128" ht="13.5" spans="1:1">
      <c r="A128" s="114"/>
    </row>
    <row r="129" ht="13.5" spans="1:1">
      <c r="A129" s="114"/>
    </row>
    <row r="130" ht="13.5" spans="1:1">
      <c r="A130" s="114"/>
    </row>
    <row r="131" ht="13.5" spans="1:1">
      <c r="A131" s="114"/>
    </row>
    <row r="132" ht="13.5" spans="1:1">
      <c r="A132" s="114"/>
    </row>
    <row r="133" ht="13.5" spans="1:1">
      <c r="A133" s="114"/>
    </row>
    <row r="134" ht="13.5" spans="1:1">
      <c r="A134" s="114"/>
    </row>
    <row r="135" ht="13.5" spans="1:1">
      <c r="A135" s="114"/>
    </row>
    <row r="136" ht="13.5" spans="1:1">
      <c r="A136" s="114"/>
    </row>
    <row r="137" ht="13.5" spans="1:1">
      <c r="A137" s="114"/>
    </row>
    <row r="138" ht="13.5" spans="1:1">
      <c r="A138" s="114"/>
    </row>
    <row r="139" ht="13.5" spans="1:1">
      <c r="A139" s="114"/>
    </row>
    <row r="140" ht="13.5" spans="1:1">
      <c r="A140" s="114"/>
    </row>
    <row r="141" ht="13.5" spans="1:1">
      <c r="A141" s="114"/>
    </row>
    <row r="142" ht="13.5" spans="1:1">
      <c r="A142" s="114"/>
    </row>
    <row r="143" ht="13.5" spans="1:1">
      <c r="A143" s="114"/>
    </row>
    <row r="144" ht="13.5" spans="1:1">
      <c r="A144" s="114"/>
    </row>
    <row r="145" ht="13.5" spans="1:1">
      <c r="A145" s="114"/>
    </row>
    <row r="146" ht="13.5" spans="1:1">
      <c r="A146" s="114"/>
    </row>
    <row r="147" ht="13.5" spans="1:1">
      <c r="A147" s="114"/>
    </row>
    <row r="148" ht="13.5" spans="1:1">
      <c r="A148" s="114"/>
    </row>
    <row r="149" ht="13.5" spans="1:1">
      <c r="A149" s="114"/>
    </row>
    <row r="150" ht="13.5" spans="1:1">
      <c r="A150" s="114"/>
    </row>
    <row r="151" ht="13.5" spans="1:1">
      <c r="A151" s="114"/>
    </row>
    <row r="152" ht="13.5" spans="1:1">
      <c r="A152" s="114"/>
    </row>
    <row r="153" ht="13.5" spans="1:1">
      <c r="A153" s="114"/>
    </row>
    <row r="154" ht="13.5" spans="1:1">
      <c r="A154" s="114"/>
    </row>
    <row r="155" ht="13.5" spans="1:1">
      <c r="A155" s="114"/>
    </row>
    <row r="156" ht="13.5" spans="1:1">
      <c r="A156" s="114"/>
    </row>
    <row r="157" ht="13.5" spans="1:1">
      <c r="A157" s="114"/>
    </row>
    <row r="158" ht="13.5" spans="1:1">
      <c r="A158" s="114"/>
    </row>
    <row r="159" ht="13.5" spans="1:1">
      <c r="A159" s="114"/>
    </row>
    <row r="160" ht="13.5" spans="1:1">
      <c r="A160" s="114"/>
    </row>
    <row r="161" ht="13.5" spans="1:1">
      <c r="A161" s="114"/>
    </row>
    <row r="162" ht="13.5" spans="1:1">
      <c r="A162" s="114"/>
    </row>
    <row r="163" ht="13.5" spans="1:1">
      <c r="A163" s="114"/>
    </row>
    <row r="164" ht="13.5" spans="1:1">
      <c r="A164" s="114"/>
    </row>
    <row r="165" ht="13.5" spans="1:1">
      <c r="A165" s="114"/>
    </row>
    <row r="166" ht="13.5" spans="1:1">
      <c r="A166" s="114"/>
    </row>
    <row r="167" ht="13.5" spans="1:1">
      <c r="A167" s="114"/>
    </row>
    <row r="168" ht="13.5" spans="1:1">
      <c r="A168" s="114"/>
    </row>
    <row r="169" ht="13.5" spans="1:1">
      <c r="A169" s="114"/>
    </row>
    <row r="170" ht="13.5" spans="1:1">
      <c r="A170" s="114"/>
    </row>
    <row r="171" ht="13.5" spans="1:1">
      <c r="A171" s="114"/>
    </row>
    <row r="172" ht="13.5" spans="1:1">
      <c r="A172" s="114"/>
    </row>
    <row r="173" ht="13.5" spans="1:1">
      <c r="A173" s="114"/>
    </row>
    <row r="174" ht="13.5" spans="1:1">
      <c r="A174" s="114"/>
    </row>
    <row r="175" ht="13.5" spans="1:1">
      <c r="A175" s="114"/>
    </row>
    <row r="176" ht="13.5" spans="1:1">
      <c r="A176" s="114"/>
    </row>
    <row r="177" ht="13.5" spans="1:1">
      <c r="A177" s="114"/>
    </row>
    <row r="178" ht="13.5" spans="1:1">
      <c r="A178" s="114"/>
    </row>
    <row r="179" ht="13.5" spans="1:1">
      <c r="A179" s="114"/>
    </row>
    <row r="180" ht="13.5" spans="1:1">
      <c r="A180" s="114"/>
    </row>
    <row r="181" ht="13.5" spans="1:1">
      <c r="A181" s="114"/>
    </row>
    <row r="182" ht="13.5" spans="1:1">
      <c r="A182" s="114"/>
    </row>
    <row r="183" ht="13.5" spans="1:1">
      <c r="A183" s="114"/>
    </row>
    <row r="184" ht="13.5" spans="1:1">
      <c r="A184" s="114"/>
    </row>
    <row r="185" ht="13.5" spans="1:1">
      <c r="A185" s="114"/>
    </row>
    <row r="186" ht="13.5" spans="1:1">
      <c r="A186" s="114"/>
    </row>
  </sheetData>
  <mergeCells count="1">
    <mergeCell ref="A1:F1"/>
  </mergeCells>
  <printOptions horizontalCentered="1"/>
  <pageMargins left="0.393055555555556" right="0.393055555555556" top="0.786805555555556" bottom="0.393055555555556" header="0.239583333333333" footer="0.200694444444444"/>
  <pageSetup paperSize="9" scale="80" orientation="landscape" horizontalDpi="600" verticalDpi="600"/>
  <headerFooter alignWithMargins="0">
    <oddFooter>&amp;C第 &amp;P 页</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showZeros="0" workbookViewId="0">
      <pane xSplit="1" ySplit="4" topLeftCell="B51" activePane="bottomRight" state="frozen"/>
      <selection/>
      <selection pane="topRight"/>
      <selection pane="bottomLeft"/>
      <selection pane="bottomRight" activeCell="F38" sqref="F38"/>
    </sheetView>
  </sheetViews>
  <sheetFormatPr defaultColWidth="9" defaultRowHeight="14.25"/>
  <cols>
    <col min="1" max="1" width="44.375" style="85" customWidth="1"/>
    <col min="2" max="5" width="8.125" style="86" customWidth="1"/>
    <col min="6" max="6" width="89.5" style="61" customWidth="1"/>
    <col min="7" max="7" width="17.75" style="85" customWidth="1"/>
    <col min="8" max="14" width="9" style="85" hidden="1" customWidth="1"/>
    <col min="15" max="16380" width="9" style="85"/>
    <col min="16381" max="16384" width="9" style="87"/>
  </cols>
  <sheetData>
    <row r="1" ht="32.1" customHeight="1" spans="1:6">
      <c r="A1" s="88" t="s">
        <v>360</v>
      </c>
      <c r="B1" s="89"/>
      <c r="C1" s="89"/>
      <c r="D1" s="89"/>
      <c r="E1" s="89"/>
      <c r="F1" s="88"/>
    </row>
    <row r="2" ht="19" customHeight="1" spans="1:6">
      <c r="A2" s="90" t="s">
        <v>361</v>
      </c>
      <c r="B2" s="91"/>
      <c r="C2" s="91"/>
      <c r="D2" s="91"/>
      <c r="E2" s="91"/>
      <c r="F2" s="81" t="s">
        <v>362</v>
      </c>
    </row>
    <row r="3" ht="27.95" customHeight="1" spans="1:6">
      <c r="A3" s="77" t="s">
        <v>363</v>
      </c>
      <c r="B3" s="92" t="s">
        <v>364</v>
      </c>
      <c r="C3" s="93" t="s">
        <v>228</v>
      </c>
      <c r="D3" s="93" t="s">
        <v>35</v>
      </c>
      <c r="E3" s="93" t="s">
        <v>365</v>
      </c>
      <c r="F3" s="34" t="s">
        <v>366</v>
      </c>
    </row>
    <row r="4" ht="23.25" customHeight="1" spans="1:6">
      <c r="A4" s="77"/>
      <c r="B4" s="71" t="s">
        <v>364</v>
      </c>
      <c r="C4" s="94"/>
      <c r="D4" s="94"/>
      <c r="E4" s="94"/>
      <c r="F4" s="34"/>
    </row>
    <row r="5" ht="19" customHeight="1" spans="1:6">
      <c r="A5" s="77" t="s">
        <v>367</v>
      </c>
      <c r="B5" s="39">
        <f>B6+B12+B16+B33+B48+B68+B72+B75+B77</f>
        <v>150606</v>
      </c>
      <c r="C5" s="39">
        <f>C6+C12+C16+C33+C48+C68+C72+C75+C77</f>
        <v>147314</v>
      </c>
      <c r="D5" s="39">
        <f>D6+D12+D16+D33+D48+D68+D72+D75+D77</f>
        <v>2718</v>
      </c>
      <c r="E5" s="39">
        <f>B5+D5</f>
        <v>153324</v>
      </c>
      <c r="F5" s="68"/>
    </row>
    <row r="6" s="85" customFormat="1" ht="20" customHeight="1" spans="1:6">
      <c r="A6" s="54" t="s">
        <v>368</v>
      </c>
      <c r="B6" s="50">
        <f>SUM(B7:B11)</f>
        <v>131530</v>
      </c>
      <c r="C6" s="50">
        <f>SUM(C7:C11)</f>
        <v>131530</v>
      </c>
      <c r="D6" s="50">
        <f>SUM(D7:D11)</f>
        <v>0</v>
      </c>
      <c r="E6" s="39">
        <f>B6+D6</f>
        <v>131530</v>
      </c>
      <c r="F6" s="68"/>
    </row>
    <row r="7" s="85" customFormat="1" ht="20" customHeight="1" spans="1:12">
      <c r="A7" s="49" t="s">
        <v>369</v>
      </c>
      <c r="B7" s="39">
        <f>50000+73763</f>
        <v>123763</v>
      </c>
      <c r="C7" s="39">
        <v>123763</v>
      </c>
      <c r="D7" s="39"/>
      <c r="E7" s="39">
        <f>B7+D7</f>
        <v>123763</v>
      </c>
      <c r="F7" s="68"/>
      <c r="I7" s="85">
        <v>21305</v>
      </c>
      <c r="J7" s="85">
        <v>40000</v>
      </c>
      <c r="L7" s="85">
        <f>B7-J7</f>
        <v>83763</v>
      </c>
    </row>
    <row r="8" s="85" customFormat="1" ht="20" customHeight="1" spans="1:12">
      <c r="A8" s="49" t="s">
        <v>370</v>
      </c>
      <c r="B8" s="39">
        <v>6645</v>
      </c>
      <c r="C8" s="39">
        <v>6645</v>
      </c>
      <c r="D8" s="39"/>
      <c r="E8" s="39">
        <f t="shared" ref="E8:E36" si="0">B8+D8</f>
        <v>6645</v>
      </c>
      <c r="F8" s="68" t="s">
        <v>371</v>
      </c>
      <c r="I8" s="85">
        <v>21305</v>
      </c>
      <c r="J8" s="85">
        <v>6135</v>
      </c>
      <c r="L8" s="85">
        <f t="shared" ref="L8:L20" si="1">B8-J8</f>
        <v>510</v>
      </c>
    </row>
    <row r="9" s="85" customFormat="1" ht="20" customHeight="1" spans="1:12">
      <c r="A9" s="49" t="s">
        <v>372</v>
      </c>
      <c r="B9" s="39">
        <v>379</v>
      </c>
      <c r="C9" s="39">
        <v>379</v>
      </c>
      <c r="D9" s="39"/>
      <c r="E9" s="39">
        <f t="shared" si="0"/>
        <v>379</v>
      </c>
      <c r="F9" s="68"/>
      <c r="I9" s="85">
        <v>20103</v>
      </c>
      <c r="J9" s="85">
        <v>379</v>
      </c>
      <c r="L9" s="85">
        <f t="shared" si="1"/>
        <v>0</v>
      </c>
    </row>
    <row r="10" s="85" customFormat="1" ht="20" customHeight="1" spans="1:12">
      <c r="A10" s="95" t="s">
        <v>373</v>
      </c>
      <c r="B10" s="39">
        <v>200</v>
      </c>
      <c r="C10" s="39">
        <v>200</v>
      </c>
      <c r="D10" s="39"/>
      <c r="E10" s="39">
        <f t="shared" si="0"/>
        <v>200</v>
      </c>
      <c r="F10" s="96" t="s">
        <v>374</v>
      </c>
      <c r="I10" s="85">
        <v>21305</v>
      </c>
      <c r="J10" s="85">
        <v>200</v>
      </c>
      <c r="L10" s="85">
        <f t="shared" si="1"/>
        <v>0</v>
      </c>
    </row>
    <row r="11" s="85" customFormat="1" ht="20" customHeight="1" spans="1:12">
      <c r="A11" s="49" t="s">
        <v>375</v>
      </c>
      <c r="B11" s="39">
        <v>543</v>
      </c>
      <c r="C11" s="39">
        <v>543</v>
      </c>
      <c r="D11" s="39"/>
      <c r="E11" s="39">
        <f t="shared" si="0"/>
        <v>543</v>
      </c>
      <c r="F11" s="96" t="s">
        <v>376</v>
      </c>
      <c r="I11" s="85">
        <v>21305</v>
      </c>
      <c r="J11" s="85">
        <v>523</v>
      </c>
      <c r="L11" s="85">
        <f t="shared" si="1"/>
        <v>20</v>
      </c>
    </row>
    <row r="12" ht="19" customHeight="1" spans="1:12">
      <c r="A12" s="97" t="s">
        <v>377</v>
      </c>
      <c r="B12" s="39">
        <f>SUM(B13:B15)</f>
        <v>556</v>
      </c>
      <c r="C12" s="39">
        <f>SUM(C13:C15)</f>
        <v>624</v>
      </c>
      <c r="D12" s="39">
        <f>SUM(D13:D15)</f>
        <v>100</v>
      </c>
      <c r="E12" s="39">
        <f>SUM(E13:E15)</f>
        <v>656</v>
      </c>
      <c r="F12" s="68"/>
      <c r="L12" s="85">
        <f t="shared" si="1"/>
        <v>556</v>
      </c>
    </row>
    <row r="13" ht="19" customHeight="1" spans="1:12">
      <c r="A13" s="49" t="s">
        <v>378</v>
      </c>
      <c r="B13" s="39">
        <v>200</v>
      </c>
      <c r="C13" s="39">
        <f>219-19</f>
        <v>200</v>
      </c>
      <c r="D13" s="39"/>
      <c r="E13" s="39">
        <f t="shared" si="0"/>
        <v>200</v>
      </c>
      <c r="F13" s="68" t="s">
        <v>379</v>
      </c>
      <c r="I13" s="85">
        <v>21301</v>
      </c>
      <c r="J13" s="85">
        <v>400</v>
      </c>
      <c r="L13" s="85">
        <f t="shared" si="1"/>
        <v>-200</v>
      </c>
    </row>
    <row r="14" ht="19" customHeight="1" spans="1:12">
      <c r="A14" s="49" t="s">
        <v>380</v>
      </c>
      <c r="B14" s="39">
        <v>156</v>
      </c>
      <c r="C14" s="39">
        <v>146</v>
      </c>
      <c r="D14" s="39"/>
      <c r="E14" s="39">
        <f t="shared" si="0"/>
        <v>156</v>
      </c>
      <c r="F14" s="68" t="s">
        <v>381</v>
      </c>
      <c r="I14" s="85">
        <v>20103</v>
      </c>
      <c r="J14" s="85">
        <v>156</v>
      </c>
      <c r="L14" s="85">
        <f t="shared" si="1"/>
        <v>0</v>
      </c>
    </row>
    <row r="15" ht="28" customHeight="1" spans="1:12">
      <c r="A15" s="49" t="s">
        <v>382</v>
      </c>
      <c r="B15" s="39">
        <v>200</v>
      </c>
      <c r="C15" s="39">
        <f>259+19</f>
        <v>278</v>
      </c>
      <c r="D15" s="39">
        <v>100</v>
      </c>
      <c r="E15" s="39">
        <f t="shared" si="0"/>
        <v>300</v>
      </c>
      <c r="F15" s="68" t="s">
        <v>383</v>
      </c>
      <c r="I15" s="85">
        <v>21301</v>
      </c>
      <c r="J15" s="85">
        <v>200</v>
      </c>
      <c r="L15" s="85">
        <f t="shared" si="1"/>
        <v>0</v>
      </c>
    </row>
    <row r="16" ht="19" customHeight="1" spans="1:12">
      <c r="A16" s="98" t="s">
        <v>384</v>
      </c>
      <c r="B16" s="50">
        <f>SUM(B17:B32)</f>
        <v>6547</v>
      </c>
      <c r="C16" s="50">
        <f>SUM(C17:C32)</f>
        <v>7308</v>
      </c>
      <c r="D16" s="50">
        <f>SUM(D17:D32)</f>
        <v>868</v>
      </c>
      <c r="E16" s="50">
        <f>SUM(E17:E32)</f>
        <v>7415</v>
      </c>
      <c r="F16" s="68"/>
      <c r="L16" s="85">
        <f t="shared" si="1"/>
        <v>6547</v>
      </c>
    </row>
    <row r="17" s="85" customFormat="1" ht="20" customHeight="1" spans="1:12">
      <c r="A17" s="52" t="s">
        <v>385</v>
      </c>
      <c r="B17" s="39">
        <v>1650</v>
      </c>
      <c r="C17" s="39">
        <v>1419</v>
      </c>
      <c r="D17" s="39">
        <v>-231</v>
      </c>
      <c r="E17" s="39">
        <f t="shared" si="0"/>
        <v>1419</v>
      </c>
      <c r="F17" s="68"/>
      <c r="I17" s="85">
        <v>21016</v>
      </c>
      <c r="J17" s="85">
        <v>1650</v>
      </c>
      <c r="L17" s="85">
        <f t="shared" si="1"/>
        <v>0</v>
      </c>
    </row>
    <row r="18" s="85" customFormat="1" ht="20" customHeight="1" spans="1:12">
      <c r="A18" s="52" t="s">
        <v>386</v>
      </c>
      <c r="B18" s="39">
        <f>587</f>
        <v>587</v>
      </c>
      <c r="C18" s="39">
        <v>560</v>
      </c>
      <c r="D18" s="39">
        <v>-26</v>
      </c>
      <c r="E18" s="39">
        <f t="shared" si="0"/>
        <v>561</v>
      </c>
      <c r="F18" s="68"/>
      <c r="I18" s="85">
        <v>20809</v>
      </c>
      <c r="J18" s="85">
        <v>587.326</v>
      </c>
      <c r="L18" s="85">
        <f t="shared" si="1"/>
        <v>-0.326000000000022</v>
      </c>
    </row>
    <row r="19" s="85" customFormat="1" ht="20" customHeight="1" spans="1:12">
      <c r="A19" s="52" t="s">
        <v>387</v>
      </c>
      <c r="B19" s="39">
        <v>126</v>
      </c>
      <c r="C19" s="39">
        <v>157</v>
      </c>
      <c r="D19" s="39">
        <v>31</v>
      </c>
      <c r="E19" s="39">
        <f t="shared" si="0"/>
        <v>157</v>
      </c>
      <c r="F19" s="68"/>
      <c r="I19" s="85">
        <v>20809</v>
      </c>
      <c r="J19" s="85">
        <v>126</v>
      </c>
      <c r="L19" s="85">
        <f t="shared" si="1"/>
        <v>0</v>
      </c>
    </row>
    <row r="20" s="85" customFormat="1" ht="20" customHeight="1" spans="1:12">
      <c r="A20" s="49" t="s">
        <v>388</v>
      </c>
      <c r="B20" s="39">
        <f>77+65</f>
        <v>142</v>
      </c>
      <c r="C20" s="39">
        <v>1499</v>
      </c>
      <c r="D20" s="39">
        <v>1357</v>
      </c>
      <c r="E20" s="39">
        <f t="shared" si="0"/>
        <v>1499</v>
      </c>
      <c r="F20" s="68" t="s">
        <v>389</v>
      </c>
      <c r="I20" s="85">
        <v>21012</v>
      </c>
      <c r="J20" s="85">
        <v>77</v>
      </c>
      <c r="L20" s="85">
        <f t="shared" si="1"/>
        <v>65</v>
      </c>
    </row>
    <row r="21" s="85" customFormat="1" ht="20" customHeight="1" spans="1:12">
      <c r="A21" s="49" t="s">
        <v>390</v>
      </c>
      <c r="B21" s="39">
        <v>274</v>
      </c>
      <c r="C21" s="39">
        <v>271</v>
      </c>
      <c r="D21" s="39">
        <v>-2</v>
      </c>
      <c r="E21" s="39">
        <f t="shared" si="0"/>
        <v>272</v>
      </c>
      <c r="F21" s="68"/>
      <c r="I21" s="85">
        <v>20826</v>
      </c>
      <c r="J21" s="85">
        <v>274.45</v>
      </c>
      <c r="L21" s="85">
        <f t="shared" ref="L21:L37" si="2">B21-J21</f>
        <v>-0.449999999999989</v>
      </c>
    </row>
    <row r="22" s="85" customFormat="1" ht="30" customHeight="1" spans="1:12">
      <c r="A22" s="49" t="s">
        <v>391</v>
      </c>
      <c r="B22" s="39">
        <v>1117</v>
      </c>
      <c r="C22" s="39">
        <v>1083</v>
      </c>
      <c r="D22" s="39">
        <v>-33</v>
      </c>
      <c r="E22" s="39">
        <f t="shared" si="0"/>
        <v>1084</v>
      </c>
      <c r="F22" s="99"/>
      <c r="I22" s="85">
        <v>20826</v>
      </c>
      <c r="J22" s="85">
        <v>1116.8</v>
      </c>
      <c r="L22" s="85">
        <f t="shared" si="2"/>
        <v>0.200000000000045</v>
      </c>
    </row>
    <row r="23" s="85" customFormat="1" ht="30" customHeight="1" spans="1:12">
      <c r="A23" s="49" t="s">
        <v>392</v>
      </c>
      <c r="B23" s="39">
        <v>38</v>
      </c>
      <c r="C23" s="39">
        <v>37</v>
      </c>
      <c r="D23" s="39"/>
      <c r="E23" s="39">
        <f t="shared" si="0"/>
        <v>38</v>
      </c>
      <c r="F23" s="68"/>
      <c r="I23" s="85">
        <v>20826</v>
      </c>
      <c r="J23" s="85">
        <v>38</v>
      </c>
      <c r="L23" s="85">
        <f t="shared" si="2"/>
        <v>0</v>
      </c>
    </row>
    <row r="24" s="85" customFormat="1" ht="30" customHeight="1" spans="1:12">
      <c r="A24" s="49" t="s">
        <v>393</v>
      </c>
      <c r="B24" s="39">
        <v>79</v>
      </c>
      <c r="C24" s="39">
        <v>68</v>
      </c>
      <c r="D24" s="39">
        <v>-10</v>
      </c>
      <c r="E24" s="39">
        <f t="shared" si="0"/>
        <v>69</v>
      </c>
      <c r="F24" s="68"/>
      <c r="I24" s="85">
        <v>20826</v>
      </c>
      <c r="J24" s="85">
        <v>79</v>
      </c>
      <c r="L24" s="85">
        <f t="shared" si="2"/>
        <v>0</v>
      </c>
    </row>
    <row r="25" s="85" customFormat="1" ht="20" customHeight="1" spans="1:12">
      <c r="A25" s="49" t="s">
        <v>394</v>
      </c>
      <c r="B25" s="39">
        <v>888</v>
      </c>
      <c r="C25" s="39">
        <v>883</v>
      </c>
      <c r="D25" s="39">
        <v>-4</v>
      </c>
      <c r="E25" s="39">
        <f t="shared" si="0"/>
        <v>884</v>
      </c>
      <c r="F25" s="68"/>
      <c r="I25" s="85">
        <v>20826</v>
      </c>
      <c r="J25" s="85">
        <v>888</v>
      </c>
      <c r="L25" s="85">
        <f t="shared" si="2"/>
        <v>0</v>
      </c>
    </row>
    <row r="26" s="85" customFormat="1" ht="20" customHeight="1" spans="1:12">
      <c r="A26" s="49" t="s">
        <v>395</v>
      </c>
      <c r="B26" s="39">
        <v>61</v>
      </c>
      <c r="C26" s="39">
        <v>61</v>
      </c>
      <c r="D26" s="39"/>
      <c r="E26" s="39">
        <f t="shared" si="0"/>
        <v>61</v>
      </c>
      <c r="F26" s="68"/>
      <c r="I26" s="85">
        <v>20826</v>
      </c>
      <c r="J26" s="85">
        <v>60.9</v>
      </c>
      <c r="L26" s="85">
        <f t="shared" si="2"/>
        <v>0.100000000000001</v>
      </c>
    </row>
    <row r="27" s="85" customFormat="1" ht="20" customHeight="1" spans="1:12">
      <c r="A27" s="49" t="s">
        <v>396</v>
      </c>
      <c r="B27" s="39">
        <v>25</v>
      </c>
      <c r="C27" s="39">
        <v>21</v>
      </c>
      <c r="D27" s="39">
        <v>-4</v>
      </c>
      <c r="E27" s="39">
        <f t="shared" si="0"/>
        <v>21</v>
      </c>
      <c r="F27" s="68"/>
      <c r="I27" s="85">
        <v>21201</v>
      </c>
      <c r="J27" s="85">
        <v>25</v>
      </c>
      <c r="L27" s="85">
        <f t="shared" si="2"/>
        <v>0</v>
      </c>
    </row>
    <row r="28" s="85" customFormat="1" ht="73" customHeight="1" spans="1:12">
      <c r="A28" s="49" t="s">
        <v>397</v>
      </c>
      <c r="B28" s="39">
        <v>1254</v>
      </c>
      <c r="C28" s="39">
        <f>1371-146</f>
        <v>1225</v>
      </c>
      <c r="D28" s="39"/>
      <c r="E28" s="39">
        <f t="shared" si="0"/>
        <v>1254</v>
      </c>
      <c r="F28" s="68" t="s">
        <v>398</v>
      </c>
      <c r="I28" s="85">
        <v>20811</v>
      </c>
      <c r="J28" s="85">
        <v>1200</v>
      </c>
      <c r="L28" s="85">
        <f t="shared" si="2"/>
        <v>54</v>
      </c>
    </row>
    <row r="29" s="85" customFormat="1" ht="19" customHeight="1" spans="1:12">
      <c r="A29" s="49" t="s">
        <v>399</v>
      </c>
      <c r="B29" s="39">
        <v>200</v>
      </c>
      <c r="C29" s="39">
        <v>0</v>
      </c>
      <c r="D29" s="39">
        <v>-200</v>
      </c>
      <c r="E29" s="39">
        <f t="shared" si="0"/>
        <v>0</v>
      </c>
      <c r="F29" s="68"/>
      <c r="I29" s="85">
        <v>22407</v>
      </c>
      <c r="J29" s="85">
        <v>200</v>
      </c>
      <c r="L29" s="85">
        <f t="shared" si="2"/>
        <v>0</v>
      </c>
    </row>
    <row r="30" s="85" customFormat="1" ht="43" customHeight="1" spans="1:12">
      <c r="A30" s="49" t="s">
        <v>400</v>
      </c>
      <c r="B30" s="39">
        <v>20</v>
      </c>
      <c r="C30" s="39">
        <v>10</v>
      </c>
      <c r="D30" s="39">
        <v>-10</v>
      </c>
      <c r="E30" s="39">
        <f t="shared" si="0"/>
        <v>10</v>
      </c>
      <c r="F30" s="68" t="s">
        <v>401</v>
      </c>
      <c r="I30" s="85">
        <v>20129</v>
      </c>
      <c r="J30" s="85">
        <v>20</v>
      </c>
      <c r="L30" s="85">
        <f t="shared" si="2"/>
        <v>0</v>
      </c>
    </row>
    <row r="31" s="85" customFormat="1" ht="28" customHeight="1" spans="1:12">
      <c r="A31" s="49" t="s">
        <v>402</v>
      </c>
      <c r="B31" s="39">
        <v>40</v>
      </c>
      <c r="C31" s="39">
        <v>14</v>
      </c>
      <c r="D31" s="39"/>
      <c r="E31" s="39">
        <f t="shared" si="0"/>
        <v>40</v>
      </c>
      <c r="F31" s="68" t="s">
        <v>403</v>
      </c>
      <c r="I31" s="85">
        <v>21011</v>
      </c>
      <c r="J31" s="85">
        <v>40</v>
      </c>
      <c r="L31" s="85">
        <f t="shared" si="2"/>
        <v>0</v>
      </c>
    </row>
    <row r="32" s="85" customFormat="1" ht="31" customHeight="1" spans="1:12">
      <c r="A32" s="49" t="s">
        <v>404</v>
      </c>
      <c r="B32" s="39">
        <v>46</v>
      </c>
      <c r="C32" s="39">
        <v>0</v>
      </c>
      <c r="D32" s="39"/>
      <c r="E32" s="39">
        <f t="shared" si="0"/>
        <v>46</v>
      </c>
      <c r="F32" s="68" t="s">
        <v>405</v>
      </c>
      <c r="I32" s="85">
        <v>20104</v>
      </c>
      <c r="J32" s="85">
        <v>46</v>
      </c>
      <c r="L32" s="85">
        <f t="shared" si="2"/>
        <v>0</v>
      </c>
    </row>
    <row r="33" s="85" customFormat="1" ht="19" customHeight="1" spans="1:12">
      <c r="A33" s="98" t="s">
        <v>406</v>
      </c>
      <c r="B33" s="39">
        <f>SUM(B34:B47)</f>
        <v>5780</v>
      </c>
      <c r="C33" s="39">
        <f>SUM(C34:C47)</f>
        <v>3126</v>
      </c>
      <c r="D33" s="39">
        <f>SUM(D34:D47)</f>
        <v>1637</v>
      </c>
      <c r="E33" s="39">
        <f>SUM(E34:E47)</f>
        <v>7417</v>
      </c>
      <c r="F33" s="68"/>
      <c r="L33" s="85">
        <f t="shared" si="2"/>
        <v>5780</v>
      </c>
    </row>
    <row r="34" s="85" customFormat="1" ht="19" customHeight="1" spans="1:12">
      <c r="A34" s="49" t="s">
        <v>407</v>
      </c>
      <c r="B34" s="39">
        <v>522</v>
      </c>
      <c r="C34" s="39">
        <v>108</v>
      </c>
      <c r="D34" s="39"/>
      <c r="E34" s="39">
        <f>B34+D34</f>
        <v>522</v>
      </c>
      <c r="F34" s="68"/>
      <c r="I34" s="85">
        <v>20502</v>
      </c>
      <c r="J34" s="85">
        <v>522</v>
      </c>
      <c r="L34" s="85">
        <f t="shared" si="2"/>
        <v>0</v>
      </c>
    </row>
    <row r="35" s="85" customFormat="1" ht="50" customHeight="1" spans="1:12">
      <c r="A35" s="49" t="s">
        <v>408</v>
      </c>
      <c r="B35" s="39">
        <v>525</v>
      </c>
      <c r="C35" s="39">
        <v>332</v>
      </c>
      <c r="D35" s="39"/>
      <c r="E35" s="39">
        <f>B35+D35</f>
        <v>525</v>
      </c>
      <c r="F35" s="68" t="s">
        <v>409</v>
      </c>
      <c r="I35" s="85">
        <v>20502</v>
      </c>
      <c r="J35" s="85">
        <v>525</v>
      </c>
      <c r="L35" s="85">
        <f t="shared" si="2"/>
        <v>0</v>
      </c>
    </row>
    <row r="36" s="85" customFormat="1" ht="19" customHeight="1" spans="1:12">
      <c r="A36" s="49" t="s">
        <v>410</v>
      </c>
      <c r="B36" s="39">
        <v>720</v>
      </c>
      <c r="C36" s="39">
        <v>0</v>
      </c>
      <c r="D36" s="39"/>
      <c r="E36" s="39">
        <f t="shared" ref="E36:E67" si="3">B36+D36</f>
        <v>720</v>
      </c>
      <c r="F36" s="68" t="s">
        <v>411</v>
      </c>
      <c r="I36" s="85">
        <v>20502</v>
      </c>
      <c r="J36" s="85">
        <v>720</v>
      </c>
      <c r="L36" s="85">
        <f t="shared" si="2"/>
        <v>0</v>
      </c>
    </row>
    <row r="37" s="85" customFormat="1" ht="42" customHeight="1" spans="1:12">
      <c r="A37" s="49" t="s">
        <v>412</v>
      </c>
      <c r="B37" s="39">
        <v>419</v>
      </c>
      <c r="C37" s="39">
        <v>217</v>
      </c>
      <c r="D37" s="39"/>
      <c r="E37" s="39">
        <f t="shared" si="3"/>
        <v>419</v>
      </c>
      <c r="F37" s="68" t="s">
        <v>413</v>
      </c>
      <c r="I37" s="85">
        <v>20502</v>
      </c>
      <c r="J37" s="85">
        <v>419</v>
      </c>
      <c r="L37" s="85">
        <f t="shared" si="2"/>
        <v>0</v>
      </c>
    </row>
    <row r="38" s="85" customFormat="1" ht="68" customHeight="1" spans="1:12">
      <c r="A38" s="100" t="s">
        <v>414</v>
      </c>
      <c r="B38" s="39">
        <v>120</v>
      </c>
      <c r="C38" s="39">
        <v>110</v>
      </c>
      <c r="D38" s="39"/>
      <c r="E38" s="39">
        <f t="shared" si="3"/>
        <v>120</v>
      </c>
      <c r="F38" s="68" t="s">
        <v>415</v>
      </c>
      <c r="I38" s="85">
        <v>20503</v>
      </c>
      <c r="J38" s="85">
        <v>120</v>
      </c>
      <c r="L38" s="85">
        <f t="shared" ref="L38:L69" si="4">B38-J38</f>
        <v>0</v>
      </c>
    </row>
    <row r="39" s="85" customFormat="1" ht="46" customHeight="1" spans="1:12">
      <c r="A39" s="100" t="s">
        <v>416</v>
      </c>
      <c r="B39" s="39">
        <v>873</v>
      </c>
      <c r="C39" s="39">
        <v>194</v>
      </c>
      <c r="D39" s="39"/>
      <c r="E39" s="39">
        <f t="shared" si="3"/>
        <v>873</v>
      </c>
      <c r="F39" s="68" t="s">
        <v>417</v>
      </c>
      <c r="I39" s="85">
        <v>20502</v>
      </c>
      <c r="J39" s="85">
        <v>873</v>
      </c>
      <c r="L39" s="85">
        <f t="shared" si="4"/>
        <v>0</v>
      </c>
    </row>
    <row r="40" s="85" customFormat="1" ht="19" customHeight="1" spans="1:12">
      <c r="A40" s="49" t="s">
        <v>418</v>
      </c>
      <c r="B40" s="39">
        <f>930+400+100</f>
        <v>1430</v>
      </c>
      <c r="C40" s="39">
        <v>1214</v>
      </c>
      <c r="D40" s="39">
        <v>1423</v>
      </c>
      <c r="E40" s="39">
        <f t="shared" si="3"/>
        <v>2853</v>
      </c>
      <c r="F40" s="68" t="s">
        <v>419</v>
      </c>
      <c r="I40" s="85">
        <v>20502</v>
      </c>
      <c r="J40" s="85">
        <v>930</v>
      </c>
      <c r="L40" s="85">
        <f t="shared" si="4"/>
        <v>500</v>
      </c>
    </row>
    <row r="41" s="85" customFormat="1" ht="19" customHeight="1" spans="1:12">
      <c r="A41" s="49" t="s">
        <v>420</v>
      </c>
      <c r="B41" s="39">
        <v>80</v>
      </c>
      <c r="C41" s="39">
        <v>0</v>
      </c>
      <c r="D41" s="39"/>
      <c r="E41" s="39">
        <f t="shared" si="3"/>
        <v>80</v>
      </c>
      <c r="F41" s="68" t="s">
        <v>421</v>
      </c>
      <c r="I41" s="85">
        <v>20502</v>
      </c>
      <c r="J41" s="85">
        <v>480</v>
      </c>
      <c r="L41" s="85">
        <f t="shared" si="4"/>
        <v>-400</v>
      </c>
    </row>
    <row r="42" s="85" customFormat="1" ht="30" customHeight="1" spans="1:12">
      <c r="A42" s="49" t="s">
        <v>422</v>
      </c>
      <c r="B42" s="39">
        <v>181</v>
      </c>
      <c r="C42" s="39">
        <v>91</v>
      </c>
      <c r="D42" s="39"/>
      <c r="E42" s="39">
        <f t="shared" si="3"/>
        <v>181</v>
      </c>
      <c r="F42" s="68" t="s">
        <v>423</v>
      </c>
      <c r="I42" s="85">
        <v>20502</v>
      </c>
      <c r="J42" s="85">
        <v>181</v>
      </c>
      <c r="L42" s="85">
        <f t="shared" si="4"/>
        <v>0</v>
      </c>
    </row>
    <row r="43" s="85" customFormat="1" ht="19" customHeight="1" spans="1:12">
      <c r="A43" s="49" t="s">
        <v>424</v>
      </c>
      <c r="B43" s="39">
        <v>30</v>
      </c>
      <c r="C43" s="39">
        <v>10</v>
      </c>
      <c r="D43" s="39"/>
      <c r="E43" s="39">
        <f t="shared" si="3"/>
        <v>30</v>
      </c>
      <c r="F43" s="68"/>
      <c r="I43" s="85">
        <v>20501</v>
      </c>
      <c r="J43" s="85">
        <v>30</v>
      </c>
      <c r="L43" s="85">
        <f t="shared" si="4"/>
        <v>0</v>
      </c>
    </row>
    <row r="44" s="85" customFormat="1" ht="19" customHeight="1" spans="1:12">
      <c r="A44" s="49" t="s">
        <v>425</v>
      </c>
      <c r="B44" s="39">
        <v>30</v>
      </c>
      <c r="C44" s="39">
        <v>0</v>
      </c>
      <c r="D44" s="39"/>
      <c r="E44" s="39">
        <f t="shared" si="3"/>
        <v>30</v>
      </c>
      <c r="F44" s="68"/>
      <c r="I44" s="85">
        <v>20501</v>
      </c>
      <c r="J44" s="85">
        <v>30</v>
      </c>
      <c r="L44" s="85">
        <f t="shared" si="4"/>
        <v>0</v>
      </c>
    </row>
    <row r="45" s="85" customFormat="1" ht="19" customHeight="1" spans="1:12">
      <c r="A45" s="49" t="s">
        <v>426</v>
      </c>
      <c r="B45" s="39">
        <v>400</v>
      </c>
      <c r="C45" s="39">
        <v>400</v>
      </c>
      <c r="D45" s="39">
        <v>214</v>
      </c>
      <c r="E45" s="39">
        <f t="shared" si="3"/>
        <v>614</v>
      </c>
      <c r="F45" s="68" t="s">
        <v>427</v>
      </c>
      <c r="L45" s="85">
        <f t="shared" si="4"/>
        <v>400</v>
      </c>
    </row>
    <row r="46" s="85" customFormat="1" ht="19" customHeight="1" spans="1:12">
      <c r="A46" s="49" t="s">
        <v>428</v>
      </c>
      <c r="B46" s="39">
        <v>450</v>
      </c>
      <c r="C46" s="39">
        <v>450</v>
      </c>
      <c r="D46" s="39"/>
      <c r="E46" s="39">
        <f t="shared" si="3"/>
        <v>450</v>
      </c>
      <c r="F46" s="68"/>
      <c r="I46" s="85">
        <v>20502</v>
      </c>
      <c r="J46" s="85">
        <v>450</v>
      </c>
      <c r="L46" s="85">
        <f t="shared" si="4"/>
        <v>0</v>
      </c>
    </row>
    <row r="47" s="85" customFormat="1" ht="19" hidden="1" customHeight="1" spans="1:12">
      <c r="A47" s="49" t="s">
        <v>429</v>
      </c>
      <c r="B47" s="39"/>
      <c r="C47" s="39"/>
      <c r="D47" s="39"/>
      <c r="E47" s="39">
        <f t="shared" si="3"/>
        <v>0</v>
      </c>
      <c r="F47" s="68"/>
      <c r="I47" s="85">
        <v>20509</v>
      </c>
      <c r="J47" s="85">
        <v>400</v>
      </c>
      <c r="L47" s="85">
        <f t="shared" si="4"/>
        <v>-400</v>
      </c>
    </row>
    <row r="48" s="85" customFormat="1" ht="19" customHeight="1" spans="1:12">
      <c r="A48" s="98" t="s">
        <v>430</v>
      </c>
      <c r="B48" s="39">
        <f>SUM(B49:B67)</f>
        <v>1765</v>
      </c>
      <c r="C48" s="39">
        <f>SUM(C49:C67)</f>
        <v>880</v>
      </c>
      <c r="D48" s="39">
        <f>SUM(D49:D67)</f>
        <v>-527</v>
      </c>
      <c r="E48" s="39">
        <f>SUM(E49:E67)</f>
        <v>1238</v>
      </c>
      <c r="F48" s="68"/>
      <c r="L48" s="85">
        <f t="shared" si="4"/>
        <v>1765</v>
      </c>
    </row>
    <row r="49" s="85" customFormat="1" ht="19" customHeight="1" spans="1:12">
      <c r="A49" s="49" t="s">
        <v>431</v>
      </c>
      <c r="B49" s="39">
        <v>40</v>
      </c>
      <c r="C49" s="39">
        <v>40</v>
      </c>
      <c r="D49" s="39"/>
      <c r="E49" s="39">
        <f t="shared" si="3"/>
        <v>40</v>
      </c>
      <c r="F49" s="68" t="s">
        <v>432</v>
      </c>
      <c r="I49" s="85">
        <v>21001</v>
      </c>
      <c r="J49" s="85">
        <v>40</v>
      </c>
      <c r="L49" s="85">
        <f t="shared" si="4"/>
        <v>0</v>
      </c>
    </row>
    <row r="50" s="85" customFormat="1" ht="19" customHeight="1" spans="1:12">
      <c r="A50" s="49" t="s">
        <v>433</v>
      </c>
      <c r="B50" s="39">
        <v>151</v>
      </c>
      <c r="C50" s="39">
        <v>64</v>
      </c>
      <c r="D50" s="39">
        <v>-86</v>
      </c>
      <c r="E50" s="39">
        <f t="shared" si="3"/>
        <v>65</v>
      </c>
      <c r="F50" s="68"/>
      <c r="I50" s="85">
        <v>21003</v>
      </c>
      <c r="J50" s="85">
        <v>150</v>
      </c>
      <c r="L50" s="85">
        <f t="shared" si="4"/>
        <v>1</v>
      </c>
    </row>
    <row r="51" s="85" customFormat="1" ht="19" customHeight="1" spans="1:12">
      <c r="A51" s="49" t="s">
        <v>434</v>
      </c>
      <c r="B51" s="39">
        <v>15</v>
      </c>
      <c r="C51" s="39">
        <v>12</v>
      </c>
      <c r="D51" s="39">
        <v>-2</v>
      </c>
      <c r="E51" s="39">
        <f t="shared" si="3"/>
        <v>13</v>
      </c>
      <c r="F51" s="68" t="s">
        <v>435</v>
      </c>
      <c r="I51" s="85">
        <v>21003</v>
      </c>
      <c r="J51" s="85">
        <v>15</v>
      </c>
      <c r="L51" s="85">
        <f t="shared" si="4"/>
        <v>0</v>
      </c>
    </row>
    <row r="52" s="85" customFormat="1" ht="19" customHeight="1" spans="1:12">
      <c r="A52" s="49" t="s">
        <v>436</v>
      </c>
      <c r="B52" s="39">
        <v>30</v>
      </c>
      <c r="C52" s="39">
        <v>25</v>
      </c>
      <c r="D52" s="39">
        <v>-5</v>
      </c>
      <c r="E52" s="39">
        <f t="shared" si="3"/>
        <v>25</v>
      </c>
      <c r="F52" s="68" t="s">
        <v>437</v>
      </c>
      <c r="I52" s="85">
        <v>20138</v>
      </c>
      <c r="J52" s="85">
        <v>30</v>
      </c>
      <c r="L52" s="85">
        <f t="shared" si="4"/>
        <v>0</v>
      </c>
    </row>
    <row r="53" s="85" customFormat="1" ht="19" customHeight="1" spans="1:12">
      <c r="A53" s="49" t="s">
        <v>438</v>
      </c>
      <c r="B53" s="39">
        <v>30</v>
      </c>
      <c r="C53" s="39">
        <v>30</v>
      </c>
      <c r="D53" s="39"/>
      <c r="E53" s="39">
        <f t="shared" si="3"/>
        <v>30</v>
      </c>
      <c r="F53" s="68"/>
      <c r="I53" s="85">
        <v>21001</v>
      </c>
      <c r="J53" s="85">
        <v>30</v>
      </c>
      <c r="L53" s="85">
        <f t="shared" si="4"/>
        <v>0</v>
      </c>
    </row>
    <row r="54" s="85" customFormat="1" ht="20" customHeight="1" spans="1:12">
      <c r="A54" s="49" t="s">
        <v>439</v>
      </c>
      <c r="B54" s="39">
        <v>161</v>
      </c>
      <c r="C54" s="39">
        <v>167</v>
      </c>
      <c r="D54" s="39">
        <v>6</v>
      </c>
      <c r="E54" s="39">
        <f t="shared" si="3"/>
        <v>167</v>
      </c>
      <c r="F54" s="68"/>
      <c r="I54" s="85">
        <v>21007</v>
      </c>
      <c r="J54" s="85">
        <v>161</v>
      </c>
      <c r="L54" s="85">
        <f t="shared" si="4"/>
        <v>0</v>
      </c>
    </row>
    <row r="55" s="85" customFormat="1" ht="19" customHeight="1" spans="1:12">
      <c r="A55" s="49" t="s">
        <v>440</v>
      </c>
      <c r="B55" s="39">
        <v>28</v>
      </c>
      <c r="C55" s="39">
        <v>27</v>
      </c>
      <c r="D55" s="39"/>
      <c r="E55" s="39">
        <f t="shared" si="3"/>
        <v>28</v>
      </c>
      <c r="F55" s="68"/>
      <c r="I55" s="85">
        <v>21007</v>
      </c>
      <c r="J55" s="85">
        <v>28</v>
      </c>
      <c r="L55" s="85">
        <f t="shared" si="4"/>
        <v>0</v>
      </c>
    </row>
    <row r="56" s="85" customFormat="1" ht="19" customHeight="1" spans="1:12">
      <c r="A56" s="49" t="s">
        <v>441</v>
      </c>
      <c r="B56" s="39">
        <v>96</v>
      </c>
      <c r="C56" s="39">
        <v>86</v>
      </c>
      <c r="D56" s="39">
        <v>-10</v>
      </c>
      <c r="E56" s="39">
        <f t="shared" si="3"/>
        <v>86</v>
      </c>
      <c r="F56" s="68"/>
      <c r="I56" s="85">
        <v>21007</v>
      </c>
      <c r="J56" s="85">
        <v>96</v>
      </c>
      <c r="L56" s="85">
        <f t="shared" si="4"/>
        <v>0</v>
      </c>
    </row>
    <row r="57" s="85" customFormat="1" ht="19" customHeight="1" spans="1:12">
      <c r="A57" s="49" t="s">
        <v>442</v>
      </c>
      <c r="B57" s="39">
        <v>70</v>
      </c>
      <c r="C57" s="39">
        <v>23</v>
      </c>
      <c r="D57" s="39">
        <f>E57-B57</f>
        <v>-47</v>
      </c>
      <c r="E57" s="39">
        <v>23</v>
      </c>
      <c r="F57" s="68"/>
      <c r="I57" s="85">
        <v>21007</v>
      </c>
      <c r="J57" s="85">
        <v>70</v>
      </c>
      <c r="L57" s="85">
        <f t="shared" si="4"/>
        <v>0</v>
      </c>
    </row>
    <row r="58" s="85" customFormat="1" ht="19" customHeight="1" spans="1:12">
      <c r="A58" s="49" t="s">
        <v>443</v>
      </c>
      <c r="B58" s="39">
        <v>30</v>
      </c>
      <c r="C58" s="39">
        <v>12</v>
      </c>
      <c r="D58" s="39">
        <v>-18</v>
      </c>
      <c r="E58" s="39">
        <f t="shared" si="3"/>
        <v>12</v>
      </c>
      <c r="F58" s="78"/>
      <c r="I58" s="85">
        <v>21007</v>
      </c>
      <c r="J58" s="85">
        <v>30</v>
      </c>
      <c r="L58" s="85">
        <f t="shared" si="4"/>
        <v>0</v>
      </c>
    </row>
    <row r="59" s="85" customFormat="1" ht="19" customHeight="1" spans="1:12">
      <c r="A59" s="49" t="s">
        <v>444</v>
      </c>
      <c r="B59" s="39">
        <v>27</v>
      </c>
      <c r="C59" s="39">
        <v>26</v>
      </c>
      <c r="D59" s="39"/>
      <c r="E59" s="39">
        <f t="shared" si="3"/>
        <v>27</v>
      </c>
      <c r="F59" s="96" t="s">
        <v>445</v>
      </c>
      <c r="I59" s="85">
        <v>21007</v>
      </c>
      <c r="J59" s="85">
        <v>27</v>
      </c>
      <c r="L59" s="85">
        <f t="shared" si="4"/>
        <v>0</v>
      </c>
    </row>
    <row r="60" s="85" customFormat="1" ht="19" customHeight="1" spans="1:12">
      <c r="A60" s="49" t="s">
        <v>446</v>
      </c>
      <c r="B60" s="39">
        <v>57</v>
      </c>
      <c r="C60" s="39">
        <v>26</v>
      </c>
      <c r="D60" s="39"/>
      <c r="E60" s="39">
        <f t="shared" si="3"/>
        <v>57</v>
      </c>
      <c r="F60" s="68" t="s">
        <v>447</v>
      </c>
      <c r="I60" s="85">
        <v>21004</v>
      </c>
      <c r="J60" s="85">
        <v>57</v>
      </c>
      <c r="L60" s="85">
        <f t="shared" si="4"/>
        <v>0</v>
      </c>
    </row>
    <row r="61" s="85" customFormat="1" ht="19" customHeight="1" spans="1:12">
      <c r="A61" s="49" t="s">
        <v>448</v>
      </c>
      <c r="B61" s="39">
        <v>15</v>
      </c>
      <c r="C61" s="39">
        <v>0</v>
      </c>
      <c r="D61" s="101">
        <f>E61-B61</f>
        <v>-15</v>
      </c>
      <c r="E61" s="39">
        <v>0</v>
      </c>
      <c r="F61" s="68" t="s">
        <v>449</v>
      </c>
      <c r="I61" s="85">
        <v>21004</v>
      </c>
      <c r="J61" s="85">
        <v>15</v>
      </c>
      <c r="L61" s="85">
        <f t="shared" si="4"/>
        <v>0</v>
      </c>
    </row>
    <row r="62" s="85" customFormat="1" ht="19" customHeight="1" spans="1:12">
      <c r="A62" s="49" t="s">
        <v>450</v>
      </c>
      <c r="B62" s="39">
        <v>25</v>
      </c>
      <c r="C62" s="39">
        <v>35</v>
      </c>
      <c r="D62" s="39">
        <v>10</v>
      </c>
      <c r="E62" s="39">
        <f t="shared" si="3"/>
        <v>35</v>
      </c>
      <c r="F62" s="68"/>
      <c r="I62" s="85">
        <v>21004</v>
      </c>
      <c r="J62" s="85">
        <v>25</v>
      </c>
      <c r="L62" s="85">
        <f t="shared" si="4"/>
        <v>0</v>
      </c>
    </row>
    <row r="63" s="85" customFormat="1" ht="19" customHeight="1" spans="1:12">
      <c r="A63" s="49" t="s">
        <v>451</v>
      </c>
      <c r="B63" s="39">
        <v>50</v>
      </c>
      <c r="C63" s="39">
        <v>50</v>
      </c>
      <c r="D63" s="39"/>
      <c r="E63" s="39">
        <f t="shared" si="3"/>
        <v>50</v>
      </c>
      <c r="F63" s="102"/>
      <c r="I63" s="85">
        <v>21003</v>
      </c>
      <c r="J63" s="85">
        <v>50</v>
      </c>
      <c r="L63" s="85">
        <f t="shared" si="4"/>
        <v>0</v>
      </c>
    </row>
    <row r="64" s="85" customFormat="1" ht="19" customHeight="1" spans="1:6">
      <c r="A64" s="49" t="s">
        <v>452</v>
      </c>
      <c r="B64" s="39"/>
      <c r="C64" s="39">
        <v>0</v>
      </c>
      <c r="D64" s="39"/>
      <c r="E64" s="39">
        <f t="shared" si="3"/>
        <v>0</v>
      </c>
      <c r="F64" s="102"/>
    </row>
    <row r="65" s="85" customFormat="1" ht="19" customHeight="1" spans="1:6">
      <c r="A65" s="49" t="s">
        <v>453</v>
      </c>
      <c r="B65" s="39">
        <v>100</v>
      </c>
      <c r="C65" s="39">
        <v>0</v>
      </c>
      <c r="D65" s="39"/>
      <c r="E65" s="39">
        <f t="shared" si="3"/>
        <v>100</v>
      </c>
      <c r="F65" s="102"/>
    </row>
    <row r="66" s="85" customFormat="1" ht="19" customHeight="1" spans="1:6">
      <c r="A66" s="49" t="s">
        <v>454</v>
      </c>
      <c r="B66" s="39">
        <f>1000-200</f>
        <v>800</v>
      </c>
      <c r="C66" s="39">
        <v>217</v>
      </c>
      <c r="D66" s="39">
        <v>-360</v>
      </c>
      <c r="E66" s="39">
        <f t="shared" si="3"/>
        <v>440</v>
      </c>
      <c r="F66" s="102"/>
    </row>
    <row r="67" s="85" customFormat="1" ht="19" customHeight="1" spans="1:12">
      <c r="A67" s="49" t="s">
        <v>455</v>
      </c>
      <c r="B67" s="39">
        <v>40</v>
      </c>
      <c r="C67" s="39">
        <v>40</v>
      </c>
      <c r="D67" s="39"/>
      <c r="E67" s="39">
        <f t="shared" si="3"/>
        <v>40</v>
      </c>
      <c r="F67" s="68"/>
      <c r="I67" s="85">
        <v>21004</v>
      </c>
      <c r="J67" s="85">
        <v>40</v>
      </c>
      <c r="L67" s="85">
        <f t="shared" ref="L67:L84" si="5">B67-J67</f>
        <v>0</v>
      </c>
    </row>
    <row r="68" s="85" customFormat="1" ht="19" customHeight="1" spans="1:12">
      <c r="A68" s="98" t="s">
        <v>456</v>
      </c>
      <c r="B68" s="50">
        <f>SUM(B69:B71)</f>
        <v>480</v>
      </c>
      <c r="C68" s="50">
        <f>SUM(C69:C71)</f>
        <v>226</v>
      </c>
      <c r="D68" s="50">
        <f>SUM(D69:D71)</f>
        <v>0</v>
      </c>
      <c r="E68" s="50">
        <f>SUM(E69:E71)</f>
        <v>480</v>
      </c>
      <c r="F68" s="68"/>
      <c r="L68" s="85">
        <f t="shared" si="5"/>
        <v>480</v>
      </c>
    </row>
    <row r="69" s="85" customFormat="1" ht="50" customHeight="1" spans="1:12">
      <c r="A69" s="49" t="s">
        <v>457</v>
      </c>
      <c r="B69" s="39">
        <v>300</v>
      </c>
      <c r="C69" s="39">
        <v>216</v>
      </c>
      <c r="D69" s="39"/>
      <c r="E69" s="39">
        <f t="shared" ref="E68:E88" si="6">B69+D69</f>
        <v>300</v>
      </c>
      <c r="F69" s="78" t="s">
        <v>458</v>
      </c>
      <c r="I69" s="85">
        <v>20701</v>
      </c>
      <c r="J69" s="85">
        <v>300</v>
      </c>
      <c r="L69" s="85">
        <f t="shared" si="5"/>
        <v>0</v>
      </c>
    </row>
    <row r="70" s="85" customFormat="1" ht="19" customHeight="1" spans="1:12">
      <c r="A70" s="49" t="s">
        <v>459</v>
      </c>
      <c r="B70" s="39">
        <v>160</v>
      </c>
      <c r="C70" s="39">
        <v>0</v>
      </c>
      <c r="D70" s="39"/>
      <c r="E70" s="39">
        <f t="shared" si="6"/>
        <v>160</v>
      </c>
      <c r="F70" s="68"/>
      <c r="I70" s="85">
        <v>20603</v>
      </c>
      <c r="J70" s="85">
        <v>160</v>
      </c>
      <c r="L70" s="85">
        <f t="shared" si="5"/>
        <v>0</v>
      </c>
    </row>
    <row r="71" s="85" customFormat="1" ht="19" customHeight="1" spans="1:12">
      <c r="A71" s="49" t="s">
        <v>460</v>
      </c>
      <c r="B71" s="39">
        <v>20</v>
      </c>
      <c r="C71" s="39">
        <v>10</v>
      </c>
      <c r="D71" s="39"/>
      <c r="E71" s="39">
        <f t="shared" si="6"/>
        <v>20</v>
      </c>
      <c r="F71" s="68" t="s">
        <v>461</v>
      </c>
      <c r="I71" s="85">
        <v>20607</v>
      </c>
      <c r="J71" s="85">
        <v>20</v>
      </c>
      <c r="L71" s="85">
        <f t="shared" si="5"/>
        <v>0</v>
      </c>
    </row>
    <row r="72" s="85" customFormat="1" ht="19" customHeight="1" spans="1:12">
      <c r="A72" s="98" t="s">
        <v>462</v>
      </c>
      <c r="B72" s="50">
        <f>SUM(B73:B74)</f>
        <v>1650</v>
      </c>
      <c r="C72" s="50">
        <f>SUM(C73:C74)</f>
        <v>1444</v>
      </c>
      <c r="D72" s="50">
        <f>SUM(D73:D74)</f>
        <v>100</v>
      </c>
      <c r="E72" s="50">
        <f>SUM(E73:E74)</f>
        <v>1750</v>
      </c>
      <c r="F72" s="68"/>
      <c r="L72" s="85">
        <f t="shared" si="5"/>
        <v>1650</v>
      </c>
    </row>
    <row r="73" s="85" customFormat="1" ht="19" customHeight="1" spans="1:6">
      <c r="A73" s="49" t="s">
        <v>463</v>
      </c>
      <c r="B73" s="39">
        <v>650</v>
      </c>
      <c r="C73" s="39">
        <v>603</v>
      </c>
      <c r="D73" s="39">
        <f>100</f>
        <v>100</v>
      </c>
      <c r="E73" s="39">
        <f t="shared" si="6"/>
        <v>750</v>
      </c>
      <c r="F73" s="68"/>
    </row>
    <row r="74" s="85" customFormat="1" ht="19" customHeight="1" spans="1:12">
      <c r="A74" s="49" t="s">
        <v>464</v>
      </c>
      <c r="B74" s="39">
        <v>1000</v>
      </c>
      <c r="C74" s="39">
        <v>841</v>
      </c>
      <c r="D74" s="39"/>
      <c r="E74" s="39">
        <f t="shared" si="6"/>
        <v>1000</v>
      </c>
      <c r="F74" s="68" t="s">
        <v>465</v>
      </c>
      <c r="I74" s="85">
        <v>21103</v>
      </c>
      <c r="J74" s="85">
        <v>1000</v>
      </c>
      <c r="L74" s="85">
        <f t="shared" si="5"/>
        <v>0</v>
      </c>
    </row>
    <row r="75" ht="19" customHeight="1" spans="1:12">
      <c r="A75" s="97" t="s">
        <v>466</v>
      </c>
      <c r="B75" s="39">
        <f>B76</f>
        <v>300</v>
      </c>
      <c r="C75" s="39">
        <f>C76</f>
        <v>269</v>
      </c>
      <c r="D75" s="39">
        <f>D76</f>
        <v>0</v>
      </c>
      <c r="E75" s="39">
        <f>E76</f>
        <v>300</v>
      </c>
      <c r="F75" s="68"/>
      <c r="L75" s="85">
        <f t="shared" si="5"/>
        <v>300</v>
      </c>
    </row>
    <row r="76" ht="19" customHeight="1" spans="1:12">
      <c r="A76" s="100" t="s">
        <v>467</v>
      </c>
      <c r="B76" s="39">
        <v>300</v>
      </c>
      <c r="C76" s="39">
        <v>269</v>
      </c>
      <c r="D76" s="39"/>
      <c r="E76" s="39">
        <f t="shared" si="6"/>
        <v>300</v>
      </c>
      <c r="F76" s="68" t="s">
        <v>468</v>
      </c>
      <c r="I76" s="85">
        <v>20801</v>
      </c>
      <c r="J76" s="85">
        <v>100</v>
      </c>
      <c r="L76" s="85">
        <f t="shared" si="5"/>
        <v>200</v>
      </c>
    </row>
    <row r="77" s="85" customFormat="1" ht="19" customHeight="1" spans="1:12">
      <c r="A77" s="54" t="s">
        <v>469</v>
      </c>
      <c r="B77" s="39">
        <f>SUM(B78:B88)</f>
        <v>1998</v>
      </c>
      <c r="C77" s="39">
        <f>SUM(C78:C88)</f>
        <v>1907</v>
      </c>
      <c r="D77" s="39">
        <f>SUM(D78:D88)</f>
        <v>540</v>
      </c>
      <c r="E77" s="39">
        <f>SUM(E78:E88)</f>
        <v>2538</v>
      </c>
      <c r="F77" s="68"/>
      <c r="L77" s="85">
        <f t="shared" si="5"/>
        <v>1998</v>
      </c>
    </row>
    <row r="78" s="85" customFormat="1" ht="19" customHeight="1" spans="1:12">
      <c r="A78" s="52" t="s">
        <v>470</v>
      </c>
      <c r="B78" s="39">
        <v>15</v>
      </c>
      <c r="C78" s="39">
        <v>15</v>
      </c>
      <c r="D78" s="39"/>
      <c r="E78" s="39">
        <f t="shared" si="6"/>
        <v>15</v>
      </c>
      <c r="F78" s="68"/>
      <c r="I78" s="85">
        <v>21303</v>
      </c>
      <c r="J78" s="85">
        <v>15</v>
      </c>
      <c r="L78" s="85">
        <f t="shared" si="5"/>
        <v>0</v>
      </c>
    </row>
    <row r="79" s="85" customFormat="1" ht="19" customHeight="1" spans="1:12">
      <c r="A79" s="52" t="s">
        <v>471</v>
      </c>
      <c r="B79" s="39">
        <v>10</v>
      </c>
      <c r="C79" s="39">
        <v>10</v>
      </c>
      <c r="D79" s="39"/>
      <c r="E79" s="39">
        <f t="shared" si="6"/>
        <v>10</v>
      </c>
      <c r="F79" s="68"/>
      <c r="I79" s="85">
        <v>21302</v>
      </c>
      <c r="J79" s="85">
        <v>10</v>
      </c>
      <c r="L79" s="85">
        <f t="shared" si="5"/>
        <v>0</v>
      </c>
    </row>
    <row r="80" s="85" customFormat="1" ht="19" customHeight="1" spans="1:12">
      <c r="A80" s="52" t="s">
        <v>472</v>
      </c>
      <c r="B80" s="39">
        <v>10</v>
      </c>
      <c r="C80" s="39">
        <v>10</v>
      </c>
      <c r="D80" s="39"/>
      <c r="E80" s="39">
        <f t="shared" si="6"/>
        <v>10</v>
      </c>
      <c r="F80" s="68"/>
      <c r="I80" s="85">
        <v>21302</v>
      </c>
      <c r="J80" s="85">
        <v>10</v>
      </c>
      <c r="L80" s="85">
        <f t="shared" si="5"/>
        <v>0</v>
      </c>
    </row>
    <row r="81" s="85" customFormat="1" ht="19" customHeight="1" spans="1:12">
      <c r="A81" s="52" t="s">
        <v>473</v>
      </c>
      <c r="B81" s="39">
        <v>10</v>
      </c>
      <c r="C81" s="39">
        <v>10</v>
      </c>
      <c r="D81" s="39"/>
      <c r="E81" s="39">
        <f t="shared" si="6"/>
        <v>10</v>
      </c>
      <c r="F81" s="68"/>
      <c r="I81" s="85">
        <v>22001</v>
      </c>
      <c r="J81" s="85">
        <v>10</v>
      </c>
      <c r="L81" s="85">
        <f t="shared" si="5"/>
        <v>0</v>
      </c>
    </row>
    <row r="82" s="85" customFormat="1" ht="19" customHeight="1" spans="1:12">
      <c r="A82" s="52" t="s">
        <v>474</v>
      </c>
      <c r="B82" s="39">
        <v>70</v>
      </c>
      <c r="C82" s="39">
        <v>70</v>
      </c>
      <c r="D82" s="39"/>
      <c r="E82" s="39">
        <f t="shared" si="6"/>
        <v>70</v>
      </c>
      <c r="F82" s="68" t="s">
        <v>475</v>
      </c>
      <c r="I82" s="85">
        <v>22005</v>
      </c>
      <c r="J82" s="85">
        <v>70</v>
      </c>
      <c r="L82" s="85">
        <f t="shared" si="5"/>
        <v>0</v>
      </c>
    </row>
    <row r="83" ht="19" customHeight="1" spans="1:12">
      <c r="A83" s="100" t="s">
        <v>476</v>
      </c>
      <c r="B83" s="39">
        <v>1197</v>
      </c>
      <c r="C83" s="39">
        <v>1197</v>
      </c>
      <c r="D83" s="39"/>
      <c r="E83" s="39">
        <f t="shared" si="6"/>
        <v>1197</v>
      </c>
      <c r="F83" s="68" t="s">
        <v>477</v>
      </c>
      <c r="I83" s="85">
        <v>21305</v>
      </c>
      <c r="J83" s="85">
        <v>1197</v>
      </c>
      <c r="L83" s="85">
        <f t="shared" si="5"/>
        <v>0</v>
      </c>
    </row>
    <row r="84" ht="19" customHeight="1" spans="1:12">
      <c r="A84" s="52" t="s">
        <v>478</v>
      </c>
      <c r="B84" s="39">
        <v>100</v>
      </c>
      <c r="C84" s="39">
        <v>40</v>
      </c>
      <c r="D84" s="39">
        <f>350+190</f>
        <v>540</v>
      </c>
      <c r="E84" s="39">
        <f t="shared" si="6"/>
        <v>640</v>
      </c>
      <c r="F84" s="68" t="s">
        <v>479</v>
      </c>
      <c r="I84" s="85">
        <v>21301</v>
      </c>
      <c r="J84" s="85">
        <v>100</v>
      </c>
      <c r="L84" s="85">
        <f t="shared" si="5"/>
        <v>0</v>
      </c>
    </row>
    <row r="85" ht="19" customHeight="1" spans="1:6">
      <c r="A85" s="52" t="s">
        <v>480</v>
      </c>
      <c r="B85" s="39">
        <v>300</v>
      </c>
      <c r="C85" s="39">
        <v>300</v>
      </c>
      <c r="D85" s="39"/>
      <c r="E85" s="39">
        <f t="shared" si="6"/>
        <v>300</v>
      </c>
      <c r="F85" s="68" t="s">
        <v>481</v>
      </c>
    </row>
    <row r="86" ht="19" customHeight="1" spans="1:6">
      <c r="A86" s="52" t="s">
        <v>482</v>
      </c>
      <c r="B86" s="39">
        <v>60</v>
      </c>
      <c r="C86" s="39">
        <v>60</v>
      </c>
      <c r="D86" s="39"/>
      <c r="E86" s="39">
        <f t="shared" si="6"/>
        <v>60</v>
      </c>
      <c r="F86" s="68" t="s">
        <v>483</v>
      </c>
    </row>
    <row r="87" ht="19" customHeight="1" spans="1:6">
      <c r="A87" s="52" t="s">
        <v>484</v>
      </c>
      <c r="B87" s="39">
        <v>200</v>
      </c>
      <c r="C87" s="39">
        <v>169</v>
      </c>
      <c r="D87" s="39"/>
      <c r="E87" s="39">
        <f t="shared" si="6"/>
        <v>200</v>
      </c>
      <c r="F87" s="68" t="s">
        <v>485</v>
      </c>
    </row>
    <row r="88" ht="19" customHeight="1" spans="1:6">
      <c r="A88" s="52" t="s">
        <v>486</v>
      </c>
      <c r="B88" s="39">
        <v>26</v>
      </c>
      <c r="C88" s="39">
        <v>26</v>
      </c>
      <c r="D88" s="39"/>
      <c r="E88" s="39">
        <f t="shared" si="6"/>
        <v>26</v>
      </c>
      <c r="F88" s="68" t="s">
        <v>487</v>
      </c>
    </row>
  </sheetData>
  <mergeCells count="7">
    <mergeCell ref="A1:F1"/>
    <mergeCell ref="A3:A4"/>
    <mergeCell ref="B3:B4"/>
    <mergeCell ref="C3:C4"/>
    <mergeCell ref="D3:D4"/>
    <mergeCell ref="E3:E4"/>
    <mergeCell ref="F3:F4"/>
  </mergeCells>
  <printOptions horizontalCentered="1"/>
  <pageMargins left="0.349305555555556" right="0.2" top="0.786805555555556" bottom="0.354166666666667" header="0.279166666666667" footer="0.196527777777778"/>
  <pageSetup paperSize="9" scale="80" orientation="landscape" horizontalDpi="600" verticalDpi="600"/>
  <headerFooter alignWithMargins="0">
    <oddFooter>&amp;C第 &amp;P 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R28"/>
  <sheetViews>
    <sheetView showZeros="0" topLeftCell="A19" workbookViewId="0">
      <selection activeCell="J9" sqref="J9"/>
    </sheetView>
  </sheetViews>
  <sheetFormatPr defaultColWidth="9" defaultRowHeight="14.25"/>
  <cols>
    <col min="1" max="1" width="30.75" style="61" customWidth="1"/>
    <col min="2" max="5" width="8.125" style="61" hidden="1" customWidth="1"/>
    <col min="6" max="9" width="8.125" style="61" customWidth="1"/>
    <col min="10" max="10" width="57.5" style="61" customWidth="1"/>
    <col min="11" max="11" width="8.125" style="61" hidden="1" customWidth="1"/>
    <col min="12" max="14" width="8.125" style="26" hidden="1" customWidth="1"/>
    <col min="15" max="15" width="8.125" style="74" customWidth="1"/>
    <col min="16" max="18" width="9" style="74"/>
    <col min="19" max="16384" width="9" style="26"/>
  </cols>
  <sheetData>
    <row r="1" ht="35" customHeight="1" spans="1:18">
      <c r="A1" s="62" t="s">
        <v>488</v>
      </c>
      <c r="B1" s="62"/>
      <c r="C1" s="62"/>
      <c r="D1" s="62"/>
      <c r="E1" s="62"/>
      <c r="F1" s="62"/>
      <c r="G1" s="62"/>
      <c r="H1" s="62"/>
      <c r="I1" s="62"/>
      <c r="J1" s="62"/>
      <c r="K1" s="62"/>
      <c r="L1" s="62"/>
      <c r="M1" s="62"/>
      <c r="N1" s="62"/>
      <c r="O1" s="62"/>
      <c r="P1" s="62"/>
      <c r="Q1" s="62"/>
      <c r="R1" s="62"/>
    </row>
    <row r="2" ht="25" customHeight="1" spans="1:18">
      <c r="A2" s="63" t="s">
        <v>489</v>
      </c>
      <c r="K2" s="81"/>
      <c r="L2" s="74"/>
      <c r="M2" s="75"/>
      <c r="N2" s="75"/>
      <c r="O2" s="75"/>
      <c r="P2" s="76" t="s">
        <v>27</v>
      </c>
      <c r="Q2" s="76"/>
      <c r="R2" s="76"/>
    </row>
    <row r="3" ht="44" customHeight="1" spans="1:18">
      <c r="A3" s="34" t="s">
        <v>490</v>
      </c>
      <c r="B3" s="34" t="s">
        <v>29</v>
      </c>
      <c r="C3" s="34" t="s">
        <v>491</v>
      </c>
      <c r="D3" s="34" t="s">
        <v>492</v>
      </c>
      <c r="E3" s="34" t="s">
        <v>493</v>
      </c>
      <c r="F3" s="34" t="s">
        <v>33</v>
      </c>
      <c r="G3" s="34" t="s">
        <v>494</v>
      </c>
      <c r="H3" s="34" t="s">
        <v>35</v>
      </c>
      <c r="I3" s="34" t="s">
        <v>46</v>
      </c>
      <c r="J3" s="34" t="s">
        <v>495</v>
      </c>
      <c r="K3" s="82" t="s">
        <v>29</v>
      </c>
      <c r="L3" s="34" t="s">
        <v>496</v>
      </c>
      <c r="M3" s="82" t="s">
        <v>497</v>
      </c>
      <c r="N3" s="82" t="s">
        <v>498</v>
      </c>
      <c r="O3" s="82" t="s">
        <v>33</v>
      </c>
      <c r="P3" s="82" t="s">
        <v>494</v>
      </c>
      <c r="Q3" s="82" t="s">
        <v>35</v>
      </c>
      <c r="R3" s="82" t="s">
        <v>46</v>
      </c>
    </row>
    <row r="4" ht="20" customHeight="1" spans="1:18">
      <c r="A4" s="66" t="s">
        <v>499</v>
      </c>
      <c r="B4" s="34">
        <f>SUM(B5:B7)</f>
        <v>53000</v>
      </c>
      <c r="C4" s="34">
        <f>SUM(C5:C7)</f>
        <v>16350</v>
      </c>
      <c r="D4" s="34">
        <f>SUM(D5:D7)</f>
        <v>16582</v>
      </c>
      <c r="E4" s="67">
        <f>D4/C4</f>
        <v>1.01418960244648</v>
      </c>
      <c r="F4" s="34">
        <f>SUM(F5:F7)</f>
        <v>14070</v>
      </c>
      <c r="G4" s="34">
        <f>SUM(G5:G7)</f>
        <v>8218</v>
      </c>
      <c r="H4" s="34">
        <f>SUM(H5:H7)</f>
        <v>-3770</v>
      </c>
      <c r="I4" s="34">
        <f>SUM(I5:I7)</f>
        <v>10300</v>
      </c>
      <c r="J4" s="66" t="s">
        <v>500</v>
      </c>
      <c r="K4" s="50">
        <f>K5</f>
        <v>1400</v>
      </c>
      <c r="L4" s="50">
        <f>L5</f>
        <v>4190</v>
      </c>
      <c r="M4" s="50">
        <f>M5</f>
        <v>4188</v>
      </c>
      <c r="N4" s="67">
        <f>M4/L4</f>
        <v>0.999522673031026</v>
      </c>
      <c r="O4" s="50">
        <f>O5</f>
        <v>4000</v>
      </c>
      <c r="P4" s="50">
        <f>P5</f>
        <v>0</v>
      </c>
      <c r="Q4" s="50">
        <f>Q5</f>
        <v>-150</v>
      </c>
      <c r="R4" s="77">
        <f>O4+Q4</f>
        <v>3850</v>
      </c>
    </row>
    <row r="5" s="26" customFormat="1" ht="20" customHeight="1" spans="1:18">
      <c r="A5" s="68" t="s">
        <v>501</v>
      </c>
      <c r="B5" s="39">
        <v>53000</v>
      </c>
      <c r="C5" s="39">
        <v>16200</v>
      </c>
      <c r="D5" s="39">
        <v>16435</v>
      </c>
      <c r="E5" s="67">
        <f t="shared" ref="E5:E15" si="0">D5/C5</f>
        <v>1.01450617283951</v>
      </c>
      <c r="F5" s="39">
        <v>14000</v>
      </c>
      <c r="G5" s="39">
        <v>8207</v>
      </c>
      <c r="H5" s="39">
        <f>I5-F5</f>
        <v>-3800</v>
      </c>
      <c r="I5" s="39">
        <f>9900+200+100</f>
        <v>10200</v>
      </c>
      <c r="J5" s="68" t="s">
        <v>502</v>
      </c>
      <c r="K5" s="50">
        <v>1400</v>
      </c>
      <c r="L5" s="50">
        <f>4188+2</f>
        <v>4190</v>
      </c>
      <c r="M5" s="50">
        <v>4188</v>
      </c>
      <c r="N5" s="67">
        <f>M5/L5</f>
        <v>0.999522673031026</v>
      </c>
      <c r="O5" s="50">
        <v>4000</v>
      </c>
      <c r="P5" s="77"/>
      <c r="Q5" s="77">
        <v>-150</v>
      </c>
      <c r="R5" s="77">
        <f t="shared" ref="R5:R20" si="1">O5+Q5</f>
        <v>3850</v>
      </c>
    </row>
    <row r="6" ht="20" customHeight="1" spans="1:18">
      <c r="A6" s="68" t="s">
        <v>503</v>
      </c>
      <c r="B6" s="39"/>
      <c r="C6" s="39">
        <f>71+4+75</f>
        <v>150</v>
      </c>
      <c r="D6" s="39">
        <v>147</v>
      </c>
      <c r="E6" s="67">
        <f t="shared" si="0"/>
        <v>0.98</v>
      </c>
      <c r="F6" s="39">
        <v>70</v>
      </c>
      <c r="G6" s="39">
        <v>11</v>
      </c>
      <c r="H6" s="39">
        <f>I6-F6</f>
        <v>30</v>
      </c>
      <c r="I6" s="39">
        <v>100</v>
      </c>
      <c r="J6" s="66" t="s">
        <v>504</v>
      </c>
      <c r="K6" s="39">
        <f>K7</f>
        <v>0</v>
      </c>
      <c r="L6" s="39">
        <f>L7</f>
        <v>0</v>
      </c>
      <c r="M6" s="39">
        <f>M7</f>
        <v>0</v>
      </c>
      <c r="N6" s="67" t="e">
        <f>M6/L6</f>
        <v>#DIV/0!</v>
      </c>
      <c r="O6" s="39">
        <f>O7</f>
        <v>28051</v>
      </c>
      <c r="P6" s="39">
        <f>P7</f>
        <v>24741</v>
      </c>
      <c r="Q6" s="39">
        <f>Q7</f>
        <v>-2286</v>
      </c>
      <c r="R6" s="77">
        <f t="shared" si="1"/>
        <v>25765</v>
      </c>
    </row>
    <row r="7" ht="20" customHeight="1" spans="1:18">
      <c r="A7" s="68" t="s">
        <v>505</v>
      </c>
      <c r="B7" s="39"/>
      <c r="C7" s="39"/>
      <c r="D7" s="39"/>
      <c r="E7" s="67"/>
      <c r="F7" s="39"/>
      <c r="G7" s="39"/>
      <c r="H7" s="39">
        <f>I7-F7</f>
        <v>0</v>
      </c>
      <c r="I7" s="39"/>
      <c r="J7" s="68" t="s">
        <v>506</v>
      </c>
      <c r="K7" s="39">
        <f>SUM(K8:K9)</f>
        <v>0</v>
      </c>
      <c r="L7" s="39">
        <f>SUM(L8:L9)</f>
        <v>0</v>
      </c>
      <c r="M7" s="39">
        <f>SUM(M8:M9)</f>
        <v>0</v>
      </c>
      <c r="N7" s="67" t="e">
        <f>M7/L7</f>
        <v>#DIV/0!</v>
      </c>
      <c r="O7" s="39">
        <v>28051</v>
      </c>
      <c r="P7" s="39">
        <f>9741+15000</f>
        <v>24741</v>
      </c>
      <c r="Q7" s="39">
        <f>-3186+600+100+100+100</f>
        <v>-2286</v>
      </c>
      <c r="R7" s="77">
        <f t="shared" si="1"/>
        <v>25765</v>
      </c>
    </row>
    <row r="8" ht="20" customHeight="1" spans="1:18">
      <c r="A8" s="66" t="s">
        <v>107</v>
      </c>
      <c r="B8" s="39">
        <v>2200</v>
      </c>
      <c r="C8" s="39">
        <f>SUM(C9)</f>
        <v>5385</v>
      </c>
      <c r="D8" s="34">
        <f>D9</f>
        <v>5483</v>
      </c>
      <c r="E8" s="67">
        <f t="shared" si="0"/>
        <v>1.01819870009285</v>
      </c>
      <c r="F8" s="39">
        <v>5000</v>
      </c>
      <c r="G8" s="39">
        <v>2366</v>
      </c>
      <c r="H8" s="39">
        <v>0</v>
      </c>
      <c r="I8" s="39">
        <v>5000</v>
      </c>
      <c r="J8" s="66" t="s">
        <v>507</v>
      </c>
      <c r="K8" s="50">
        <v>0</v>
      </c>
      <c r="L8" s="50"/>
      <c r="M8" s="50"/>
      <c r="N8" s="67"/>
      <c r="O8" s="77">
        <f>O9</f>
        <v>0</v>
      </c>
      <c r="P8" s="77">
        <f>P9</f>
        <v>0</v>
      </c>
      <c r="Q8" s="77">
        <f>Q9</f>
        <v>150</v>
      </c>
      <c r="R8" s="77">
        <f t="shared" si="1"/>
        <v>150</v>
      </c>
    </row>
    <row r="9" ht="20" customHeight="1" spans="1:18">
      <c r="A9" s="68" t="s">
        <v>508</v>
      </c>
      <c r="B9" s="39">
        <v>2200</v>
      </c>
      <c r="C9" s="39">
        <f>C10</f>
        <v>5385</v>
      </c>
      <c r="D9" s="34">
        <f>D10</f>
        <v>5483</v>
      </c>
      <c r="E9" s="67">
        <f t="shared" si="0"/>
        <v>1.01819870009285</v>
      </c>
      <c r="F9" s="39">
        <v>5000</v>
      </c>
      <c r="G9" s="39">
        <v>2366</v>
      </c>
      <c r="H9" s="39"/>
      <c r="I9" s="39">
        <v>5000</v>
      </c>
      <c r="J9" s="68" t="s">
        <v>509</v>
      </c>
      <c r="K9" s="50"/>
      <c r="L9" s="50"/>
      <c r="M9" s="50"/>
      <c r="N9" s="67"/>
      <c r="O9" s="50"/>
      <c r="P9" s="77"/>
      <c r="Q9" s="77">
        <v>150</v>
      </c>
      <c r="R9" s="77">
        <f t="shared" si="1"/>
        <v>150</v>
      </c>
    </row>
    <row r="10" ht="20" customHeight="1" spans="1:18">
      <c r="A10" s="68" t="s">
        <v>510</v>
      </c>
      <c r="B10" s="39">
        <v>2200</v>
      </c>
      <c r="C10" s="39">
        <f>5376+9</f>
        <v>5385</v>
      </c>
      <c r="D10" s="39">
        <v>5483</v>
      </c>
      <c r="E10" s="67">
        <f t="shared" si="0"/>
        <v>1.01819870009285</v>
      </c>
      <c r="F10" s="39">
        <v>5000</v>
      </c>
      <c r="G10" s="39">
        <v>2366</v>
      </c>
      <c r="H10" s="39">
        <f>I10-F10</f>
        <v>0</v>
      </c>
      <c r="I10" s="39">
        <v>5000</v>
      </c>
      <c r="J10" s="66" t="s">
        <v>511</v>
      </c>
      <c r="K10" s="50">
        <f>K11</f>
        <v>800</v>
      </c>
      <c r="L10" s="50">
        <f>L11</f>
        <v>1150</v>
      </c>
      <c r="M10" s="50">
        <f>M11</f>
        <v>1250</v>
      </c>
      <c r="N10" s="67">
        <f t="shared" ref="N10:N15" si="2">M10/L10</f>
        <v>1.08695652173913</v>
      </c>
      <c r="O10" s="50">
        <f>O11</f>
        <v>1000</v>
      </c>
      <c r="P10" s="50">
        <f>P11</f>
        <v>0</v>
      </c>
      <c r="Q10" s="50">
        <f>Q11</f>
        <v>0</v>
      </c>
      <c r="R10" s="77">
        <f t="shared" si="1"/>
        <v>1000</v>
      </c>
    </row>
    <row r="11" ht="20" customHeight="1" spans="1:18">
      <c r="A11" s="66" t="s">
        <v>196</v>
      </c>
      <c r="B11" s="39">
        <v>20</v>
      </c>
      <c r="C11" s="39">
        <v>21</v>
      </c>
      <c r="D11" s="39">
        <v>21</v>
      </c>
      <c r="E11" s="67">
        <f t="shared" si="0"/>
        <v>1</v>
      </c>
      <c r="F11" s="39">
        <v>343</v>
      </c>
      <c r="G11" s="39">
        <v>343</v>
      </c>
      <c r="H11" s="39">
        <v>1</v>
      </c>
      <c r="I11" s="39">
        <v>344</v>
      </c>
      <c r="J11" s="68" t="s">
        <v>512</v>
      </c>
      <c r="K11" s="50">
        <v>800</v>
      </c>
      <c r="L11" s="50">
        <f>1143+7</f>
        <v>1150</v>
      </c>
      <c r="M11" s="50">
        <f>1211+39</f>
        <v>1250</v>
      </c>
      <c r="N11" s="67">
        <f t="shared" si="2"/>
        <v>1.08695652173913</v>
      </c>
      <c r="O11" s="50">
        <f>1000</f>
        <v>1000</v>
      </c>
      <c r="P11" s="83"/>
      <c r="Q11" s="83"/>
      <c r="R11" s="77">
        <f t="shared" si="1"/>
        <v>1000</v>
      </c>
    </row>
    <row r="12" ht="20" customHeight="1" spans="1:18">
      <c r="A12" s="66" t="s">
        <v>513</v>
      </c>
      <c r="B12" s="34">
        <v>5000</v>
      </c>
      <c r="C12" s="39">
        <v>15000</v>
      </c>
      <c r="D12" s="34">
        <f>D13</f>
        <v>15000</v>
      </c>
      <c r="E12" s="67">
        <f t="shared" si="0"/>
        <v>1</v>
      </c>
      <c r="F12" s="34">
        <v>15000</v>
      </c>
      <c r="G12" s="34">
        <v>15000</v>
      </c>
      <c r="H12" s="34"/>
      <c r="I12" s="34">
        <v>15000</v>
      </c>
      <c r="J12" s="66" t="s">
        <v>514</v>
      </c>
      <c r="K12" s="84"/>
      <c r="L12" s="50">
        <f>SUM(L13:L14)</f>
        <v>319</v>
      </c>
      <c r="M12" s="50">
        <f>SUM(M13:M14)</f>
        <v>320</v>
      </c>
      <c r="N12" s="67">
        <f t="shared" si="2"/>
        <v>1.00313479623824</v>
      </c>
      <c r="O12" s="50">
        <f>SUM(O13:O14)</f>
        <v>812</v>
      </c>
      <c r="P12" s="50">
        <f>SUM(P13:P14)</f>
        <v>812</v>
      </c>
      <c r="Q12" s="50">
        <f>SUM(Q13:Q14)</f>
        <v>0</v>
      </c>
      <c r="R12" s="77">
        <f t="shared" si="1"/>
        <v>812</v>
      </c>
    </row>
    <row r="13" ht="20" customHeight="1" spans="1:18">
      <c r="A13" s="68" t="s">
        <v>515</v>
      </c>
      <c r="B13" s="39">
        <v>5000</v>
      </c>
      <c r="C13" s="39">
        <v>15000</v>
      </c>
      <c r="D13" s="39">
        <f>D14</f>
        <v>15000</v>
      </c>
      <c r="E13" s="67">
        <f t="shared" si="0"/>
        <v>1</v>
      </c>
      <c r="F13" s="39">
        <v>15000</v>
      </c>
      <c r="G13" s="39">
        <v>15000</v>
      </c>
      <c r="H13" s="39"/>
      <c r="I13" s="39">
        <v>15000</v>
      </c>
      <c r="J13" s="68" t="s">
        <v>516</v>
      </c>
      <c r="K13" s="77"/>
      <c r="L13" s="50">
        <v>124</v>
      </c>
      <c r="M13" s="39">
        <v>125</v>
      </c>
      <c r="N13" s="67">
        <f t="shared" si="2"/>
        <v>1.00806451612903</v>
      </c>
      <c r="O13" s="50">
        <v>124</v>
      </c>
      <c r="P13" s="83">
        <v>124</v>
      </c>
      <c r="Q13" s="83"/>
      <c r="R13" s="77">
        <f t="shared" si="1"/>
        <v>124</v>
      </c>
    </row>
    <row r="14" ht="20" customHeight="1" spans="1:18">
      <c r="A14" s="68" t="s">
        <v>517</v>
      </c>
      <c r="B14" s="34">
        <v>5000</v>
      </c>
      <c r="C14" s="39">
        <v>15000</v>
      </c>
      <c r="D14" s="34">
        <v>15000</v>
      </c>
      <c r="E14" s="67">
        <f t="shared" si="0"/>
        <v>1</v>
      </c>
      <c r="F14" s="34">
        <v>15000</v>
      </c>
      <c r="G14" s="34">
        <v>15000</v>
      </c>
      <c r="H14" s="34"/>
      <c r="I14" s="34">
        <v>15000</v>
      </c>
      <c r="J14" s="68" t="s">
        <v>518</v>
      </c>
      <c r="K14" s="50"/>
      <c r="L14" s="50">
        <v>195</v>
      </c>
      <c r="M14" s="83">
        <v>195</v>
      </c>
      <c r="N14" s="67">
        <f t="shared" si="2"/>
        <v>1</v>
      </c>
      <c r="O14" s="83">
        <v>688</v>
      </c>
      <c r="P14" s="83">
        <v>688</v>
      </c>
      <c r="Q14" s="83"/>
      <c r="R14" s="77">
        <f t="shared" si="1"/>
        <v>688</v>
      </c>
    </row>
    <row r="15" ht="20" customHeight="1" spans="1:18">
      <c r="A15" s="66" t="s">
        <v>519</v>
      </c>
      <c r="B15" s="34"/>
      <c r="C15" s="34">
        <v>2200</v>
      </c>
      <c r="D15" s="34">
        <v>2200</v>
      </c>
      <c r="E15" s="67">
        <f t="shared" si="0"/>
        <v>1</v>
      </c>
      <c r="F15" s="34">
        <v>700</v>
      </c>
      <c r="G15" s="34"/>
      <c r="H15" s="34">
        <v>1500</v>
      </c>
      <c r="I15" s="34">
        <f>F15+H15</f>
        <v>2200</v>
      </c>
      <c r="J15" s="66" t="s">
        <v>520</v>
      </c>
      <c r="K15" s="50"/>
      <c r="L15" s="50">
        <v>16</v>
      </c>
      <c r="M15" s="77">
        <v>16</v>
      </c>
      <c r="N15" s="67">
        <f t="shared" si="2"/>
        <v>1</v>
      </c>
      <c r="O15" s="77">
        <f>SUM(O16:O17)</f>
        <v>0</v>
      </c>
      <c r="P15" s="77">
        <f>SUM(P16:P17)</f>
        <v>17</v>
      </c>
      <c r="Q15" s="77">
        <f>SUM(Q16:Q17)</f>
        <v>17</v>
      </c>
      <c r="R15" s="77">
        <f>SUM(R16:R17)</f>
        <v>17</v>
      </c>
    </row>
    <row r="16" ht="20" customHeight="1" spans="1:18">
      <c r="A16" s="66" t="s">
        <v>521</v>
      </c>
      <c r="B16" s="34"/>
      <c r="C16" s="34"/>
      <c r="D16" s="34"/>
      <c r="E16" s="67"/>
      <c r="F16" s="34"/>
      <c r="G16" s="34"/>
      <c r="H16" s="34">
        <f>I16-F16</f>
        <v>8163</v>
      </c>
      <c r="I16" s="34">
        <v>8163</v>
      </c>
      <c r="J16" s="79" t="s">
        <v>522</v>
      </c>
      <c r="K16" s="83"/>
      <c r="L16" s="50"/>
      <c r="M16" s="39"/>
      <c r="N16" s="67"/>
      <c r="O16" s="39"/>
      <c r="P16" s="77"/>
      <c r="Q16" s="77"/>
      <c r="R16" s="77">
        <f t="shared" si="1"/>
        <v>0</v>
      </c>
    </row>
    <row r="17" ht="20" customHeight="1" spans="1:18">
      <c r="A17" s="79"/>
      <c r="B17" s="80"/>
      <c r="C17" s="80"/>
      <c r="D17" s="66"/>
      <c r="E17" s="67"/>
      <c r="F17" s="66"/>
      <c r="G17" s="66"/>
      <c r="H17" s="66"/>
      <c r="I17" s="66"/>
      <c r="J17" s="52" t="s">
        <v>523</v>
      </c>
      <c r="K17" s="77"/>
      <c r="L17" s="50">
        <v>16</v>
      </c>
      <c r="M17" s="39">
        <v>16</v>
      </c>
      <c r="N17" s="67">
        <f>M17/L17</f>
        <v>1</v>
      </c>
      <c r="O17" s="39"/>
      <c r="P17" s="77">
        <v>17</v>
      </c>
      <c r="Q17" s="77">
        <v>17</v>
      </c>
      <c r="R17" s="77">
        <f t="shared" si="1"/>
        <v>17</v>
      </c>
    </row>
    <row r="18" ht="20" customHeight="1" spans="1:18">
      <c r="A18" s="79"/>
      <c r="B18" s="80"/>
      <c r="C18" s="80"/>
      <c r="D18" s="80"/>
      <c r="E18" s="67"/>
      <c r="F18" s="80"/>
      <c r="G18" s="80"/>
      <c r="H18" s="80"/>
      <c r="I18" s="80"/>
      <c r="J18" s="54" t="s">
        <v>524</v>
      </c>
      <c r="K18" s="77"/>
      <c r="L18" s="50"/>
      <c r="M18" s="39"/>
      <c r="N18" s="67"/>
      <c r="O18" s="39"/>
      <c r="P18" s="39"/>
      <c r="Q18" s="39">
        <f>Q19+Q20</f>
        <v>6720</v>
      </c>
      <c r="R18" s="77">
        <f t="shared" si="1"/>
        <v>6720</v>
      </c>
    </row>
    <row r="19" ht="20" customHeight="1" spans="1:18">
      <c r="A19" s="79"/>
      <c r="B19" s="80"/>
      <c r="C19" s="80"/>
      <c r="D19" s="80"/>
      <c r="E19" s="67"/>
      <c r="F19" s="80"/>
      <c r="G19" s="80"/>
      <c r="H19" s="80"/>
      <c r="I19" s="80"/>
      <c r="J19" s="79" t="s">
        <v>525</v>
      </c>
      <c r="K19" s="79"/>
      <c r="L19" s="79"/>
      <c r="M19" s="79"/>
      <c r="N19" s="79"/>
      <c r="O19" s="83"/>
      <c r="P19" s="83"/>
      <c r="Q19" s="83">
        <v>6520</v>
      </c>
      <c r="R19" s="77">
        <f t="shared" si="1"/>
        <v>6520</v>
      </c>
    </row>
    <row r="20" ht="20" customHeight="1" spans="1:18">
      <c r="A20" s="68"/>
      <c r="B20" s="39"/>
      <c r="C20" s="39"/>
      <c r="D20" s="34"/>
      <c r="E20" s="67"/>
      <c r="F20" s="39"/>
      <c r="G20" s="39"/>
      <c r="H20" s="39"/>
      <c r="I20" s="39"/>
      <c r="J20" s="52" t="s">
        <v>526</v>
      </c>
      <c r="K20" s="77"/>
      <c r="L20" s="50"/>
      <c r="M20" s="39"/>
      <c r="N20" s="67"/>
      <c r="O20" s="39"/>
      <c r="P20" s="39"/>
      <c r="Q20" s="39">
        <v>200</v>
      </c>
      <c r="R20" s="77">
        <f t="shared" si="1"/>
        <v>200</v>
      </c>
    </row>
    <row r="21" ht="20" customHeight="1" spans="1:18">
      <c r="A21" s="34" t="s">
        <v>206</v>
      </c>
      <c r="B21" s="34">
        <f>B4+B8+B11+B12+B15</f>
        <v>60220</v>
      </c>
      <c r="C21" s="34">
        <f>C4+C8+C11+C12+C15</f>
        <v>38956</v>
      </c>
      <c r="D21" s="34">
        <f>D4+D8+D11+D12+D15</f>
        <v>39286</v>
      </c>
      <c r="E21" s="67">
        <f>D21/C21</f>
        <v>1.00847109559503</v>
      </c>
      <c r="F21" s="34">
        <f>F4+F8+F11+F12+F15+F16</f>
        <v>35113</v>
      </c>
      <c r="G21" s="34">
        <f>G4+G8+G11+G12+G15+G16</f>
        <v>25927</v>
      </c>
      <c r="H21" s="34">
        <f>H4+H8+H11+H12+H15+H16</f>
        <v>5894</v>
      </c>
      <c r="I21" s="34">
        <f>I4+I8+I11+I12+I15+I16</f>
        <v>41007</v>
      </c>
      <c r="J21" s="34" t="s">
        <v>207</v>
      </c>
      <c r="K21" s="39" t="e">
        <f>#REF!+K4+K6+#REF!+#REF!+K10+K12+K15</f>
        <v>#REF!</v>
      </c>
      <c r="L21" s="50" t="e">
        <f>#REF!+L4+L6+#REF!+L10+L12+L15+#REF!</f>
        <v>#REF!</v>
      </c>
      <c r="M21" s="50" t="e">
        <f>#REF!+M4+M6+#REF!+M10+M12+M15+#REF!</f>
        <v>#REF!</v>
      </c>
      <c r="N21" s="67" t="e">
        <f>M21/L21</f>
        <v>#REF!</v>
      </c>
      <c r="O21" s="50">
        <f>O4+O6+O8+O10+O12+O15+O18</f>
        <v>33863</v>
      </c>
      <c r="P21" s="50">
        <f>P4+P6+P8+P10+P12+P15+P18</f>
        <v>25570</v>
      </c>
      <c r="Q21" s="50">
        <f>Q4+Q6+Q8+Q10+Q12+Q15+Q18</f>
        <v>4451</v>
      </c>
      <c r="R21" s="50">
        <f>R4+R6+R8+R10+R12+R15+R18</f>
        <v>38314</v>
      </c>
    </row>
    <row r="22" ht="20" customHeight="1" spans="1:18">
      <c r="A22" s="68"/>
      <c r="B22" s="39"/>
      <c r="C22" s="39"/>
      <c r="D22" s="39"/>
      <c r="E22" s="67"/>
      <c r="F22" s="39"/>
      <c r="G22" s="39"/>
      <c r="H22" s="39"/>
      <c r="I22" s="39"/>
      <c r="J22" s="66" t="s">
        <v>527</v>
      </c>
      <c r="K22" s="39">
        <f>K23</f>
        <v>0</v>
      </c>
      <c r="L22" s="39">
        <f>L23</f>
        <v>0</v>
      </c>
      <c r="M22" s="39">
        <f>M23</f>
        <v>0</v>
      </c>
      <c r="N22" s="67"/>
      <c r="O22" s="39">
        <f>O23</f>
        <v>800</v>
      </c>
      <c r="P22" s="77">
        <f>P23</f>
        <v>0</v>
      </c>
      <c r="Q22" s="77">
        <f>Q23</f>
        <v>0</v>
      </c>
      <c r="R22" s="77">
        <f>R23</f>
        <v>800</v>
      </c>
    </row>
    <row r="23" ht="20" customHeight="1" spans="1:18">
      <c r="A23" s="68"/>
      <c r="B23" s="39"/>
      <c r="C23" s="39"/>
      <c r="D23" s="39"/>
      <c r="E23" s="67"/>
      <c r="F23" s="39"/>
      <c r="G23" s="39"/>
      <c r="H23" s="39"/>
      <c r="I23" s="39"/>
      <c r="J23" s="68" t="s">
        <v>528</v>
      </c>
      <c r="K23" s="50"/>
      <c r="L23" s="50"/>
      <c r="M23" s="50"/>
      <c r="N23" s="67"/>
      <c r="O23" s="50">
        <v>800</v>
      </c>
      <c r="P23" s="77"/>
      <c r="Q23" s="77">
        <f>R23-O23</f>
        <v>0</v>
      </c>
      <c r="R23" s="77">
        <v>800</v>
      </c>
    </row>
    <row r="24" ht="20" customHeight="1" spans="1:18">
      <c r="A24" s="68"/>
      <c r="B24" s="39"/>
      <c r="C24" s="39"/>
      <c r="D24" s="34"/>
      <c r="E24" s="67"/>
      <c r="F24" s="39"/>
      <c r="G24" s="39"/>
      <c r="H24" s="39"/>
      <c r="I24" s="39"/>
      <c r="J24" s="68" t="s">
        <v>529</v>
      </c>
      <c r="K24" s="50">
        <v>6000</v>
      </c>
      <c r="L24" s="50"/>
      <c r="M24" s="39"/>
      <c r="N24" s="67"/>
      <c r="O24" s="39"/>
      <c r="P24" s="77"/>
      <c r="Q24" s="77">
        <v>1443</v>
      </c>
      <c r="R24" s="77">
        <v>1443</v>
      </c>
    </row>
    <row r="25" ht="20" customHeight="1" spans="1:18">
      <c r="A25" s="68"/>
      <c r="B25" s="39"/>
      <c r="C25" s="39"/>
      <c r="D25" s="34"/>
      <c r="E25" s="67"/>
      <c r="F25" s="39"/>
      <c r="G25" s="39"/>
      <c r="H25" s="39"/>
      <c r="I25" s="39"/>
      <c r="J25" s="68" t="s">
        <v>530</v>
      </c>
      <c r="K25" s="50"/>
      <c r="L25" s="50"/>
      <c r="M25" s="39"/>
      <c r="N25" s="67"/>
      <c r="O25" s="39"/>
      <c r="P25" s="77"/>
      <c r="Q25" s="77">
        <v>1443</v>
      </c>
      <c r="R25" s="77">
        <v>1443</v>
      </c>
    </row>
    <row r="26" ht="20" customHeight="1" spans="1:18">
      <c r="A26" s="68"/>
      <c r="B26" s="39"/>
      <c r="C26" s="39"/>
      <c r="D26" s="34"/>
      <c r="E26" s="67"/>
      <c r="F26" s="39"/>
      <c r="G26" s="39"/>
      <c r="H26" s="39"/>
      <c r="I26" s="39"/>
      <c r="J26" s="68" t="s">
        <v>531</v>
      </c>
      <c r="K26" s="50">
        <v>450</v>
      </c>
      <c r="L26" s="50">
        <v>450</v>
      </c>
      <c r="M26" s="50">
        <v>450</v>
      </c>
      <c r="N26" s="67"/>
      <c r="O26" s="50">
        <v>450</v>
      </c>
      <c r="P26" s="77"/>
      <c r="Q26" s="77"/>
      <c r="R26" s="77">
        <v>450</v>
      </c>
    </row>
    <row r="27" ht="20" customHeight="1" spans="1:18">
      <c r="A27" s="68"/>
      <c r="B27" s="39"/>
      <c r="C27" s="39"/>
      <c r="D27" s="68"/>
      <c r="E27" s="67"/>
      <c r="F27" s="68"/>
      <c r="G27" s="68"/>
      <c r="H27" s="68"/>
      <c r="I27" s="68"/>
      <c r="J27" s="68" t="s">
        <v>532</v>
      </c>
      <c r="K27" s="39" t="e">
        <f>K28-K21-K24-K26-K22</f>
        <v>#REF!</v>
      </c>
      <c r="L27" s="39" t="e">
        <f>L28-L21-L24-L26-L22</f>
        <v>#REF!</v>
      </c>
      <c r="M27" s="39" t="e">
        <f>M28-M21-M24-M26-M22</f>
        <v>#REF!</v>
      </c>
      <c r="N27" s="67"/>
      <c r="O27" s="39">
        <f>O28-O21-O24-O26-O22</f>
        <v>0</v>
      </c>
      <c r="P27" s="77"/>
      <c r="Q27" s="77"/>
      <c r="R27" s="77">
        <f>R28-R21-R22-R24-R26</f>
        <v>0</v>
      </c>
    </row>
    <row r="28" ht="20" customHeight="1" spans="1:18">
      <c r="A28" s="34" t="s">
        <v>533</v>
      </c>
      <c r="B28" s="39">
        <f>B21</f>
        <v>60220</v>
      </c>
      <c r="C28" s="39">
        <f>C21</f>
        <v>38956</v>
      </c>
      <c r="D28" s="39">
        <f>D21</f>
        <v>39286</v>
      </c>
      <c r="E28" s="67">
        <f>D28/C28</f>
        <v>1.00847109559503</v>
      </c>
      <c r="F28" s="39">
        <f>F21</f>
        <v>35113</v>
      </c>
      <c r="G28" s="39">
        <f>G21</f>
        <v>25927</v>
      </c>
      <c r="H28" s="39">
        <f>H21</f>
        <v>5894</v>
      </c>
      <c r="I28" s="39">
        <f>I21</f>
        <v>41007</v>
      </c>
      <c r="J28" s="34" t="s">
        <v>534</v>
      </c>
      <c r="K28" s="50">
        <f>B28</f>
        <v>60220</v>
      </c>
      <c r="L28" s="50">
        <f>C28</f>
        <v>38956</v>
      </c>
      <c r="M28" s="77">
        <f>D28</f>
        <v>39286</v>
      </c>
      <c r="N28" s="67">
        <f>M28/L28</f>
        <v>1.00847109559503</v>
      </c>
      <c r="O28" s="77">
        <f>F28</f>
        <v>35113</v>
      </c>
      <c r="P28" s="77">
        <f>G28</f>
        <v>25927</v>
      </c>
      <c r="Q28" s="77">
        <f>H28</f>
        <v>5894</v>
      </c>
      <c r="R28" s="77">
        <f>I28</f>
        <v>41007</v>
      </c>
    </row>
  </sheetData>
  <mergeCells count="2">
    <mergeCell ref="A1:R1"/>
    <mergeCell ref="P2:R2"/>
  </mergeCells>
  <printOptions horizontalCentered="1"/>
  <pageMargins left="0.235416666666667" right="0.235416666666667" top="0.786805555555556" bottom="0.393055555555556" header="0.507638888888889" footer="0.507638888888889"/>
  <pageSetup paperSize="9" scale="80" orientation="landscape" horizontalDpi="600" verticalDpi="600"/>
  <headerFooter>
    <oddFooter>&amp;C第 &amp;P 页</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R24"/>
  <sheetViews>
    <sheetView showZeros="0" topLeftCell="A4" workbookViewId="0">
      <selection activeCell="R25" sqref="R25"/>
    </sheetView>
  </sheetViews>
  <sheetFormatPr defaultColWidth="9" defaultRowHeight="14.25"/>
  <cols>
    <col min="1" max="1" width="34.75" style="61" customWidth="1"/>
    <col min="2" max="5" width="8.125" style="61" hidden="1" customWidth="1"/>
    <col min="6" max="9" width="8.125" style="61" customWidth="1"/>
    <col min="10" max="10" width="55.875" style="61" customWidth="1"/>
    <col min="11" max="14" width="8.125" style="26" hidden="1" customWidth="1"/>
    <col min="15" max="15" width="8.125" style="26" customWidth="1"/>
    <col min="16" max="18" width="9" style="26" customWidth="1"/>
    <col min="19" max="16384" width="9" style="26"/>
  </cols>
  <sheetData>
    <row r="1" ht="35" customHeight="1" spans="1:18">
      <c r="A1" s="62" t="s">
        <v>535</v>
      </c>
      <c r="B1" s="62"/>
      <c r="C1" s="62"/>
      <c r="D1" s="62"/>
      <c r="E1" s="62"/>
      <c r="F1" s="62"/>
      <c r="G1" s="62"/>
      <c r="H1" s="62"/>
      <c r="I1" s="62"/>
      <c r="J1" s="62"/>
      <c r="K1" s="62"/>
      <c r="L1" s="62"/>
      <c r="M1" s="62"/>
      <c r="N1" s="62"/>
      <c r="O1" s="62"/>
      <c r="P1" s="62"/>
      <c r="Q1" s="62"/>
      <c r="R1" s="62"/>
    </row>
    <row r="2" ht="25" customHeight="1" spans="1:18">
      <c r="A2" s="63" t="s">
        <v>536</v>
      </c>
      <c r="K2" s="61"/>
      <c r="L2" s="74"/>
      <c r="M2" s="75" t="s">
        <v>537</v>
      </c>
      <c r="N2" s="75"/>
      <c r="O2" s="75"/>
      <c r="P2" s="76" t="s">
        <v>27</v>
      </c>
      <c r="Q2" s="76"/>
      <c r="R2" s="76"/>
    </row>
    <row r="3" ht="45" customHeight="1" spans="1:18">
      <c r="A3" s="34" t="s">
        <v>490</v>
      </c>
      <c r="B3" s="34" t="s">
        <v>29</v>
      </c>
      <c r="C3" s="64" t="s">
        <v>491</v>
      </c>
      <c r="D3" s="64" t="s">
        <v>492</v>
      </c>
      <c r="E3" s="64" t="s">
        <v>538</v>
      </c>
      <c r="F3" s="64" t="s">
        <v>364</v>
      </c>
      <c r="G3" s="65" t="s">
        <v>494</v>
      </c>
      <c r="H3" s="65" t="s">
        <v>35</v>
      </c>
      <c r="I3" s="65" t="s">
        <v>46</v>
      </c>
      <c r="J3" s="34" t="s">
        <v>495</v>
      </c>
      <c r="K3" s="34" t="s">
        <v>29</v>
      </c>
      <c r="L3" s="64" t="s">
        <v>491</v>
      </c>
      <c r="M3" s="34" t="s">
        <v>492</v>
      </c>
      <c r="N3" s="34" t="s">
        <v>538</v>
      </c>
      <c r="O3" s="34" t="s">
        <v>364</v>
      </c>
      <c r="P3" s="65" t="s">
        <v>494</v>
      </c>
      <c r="Q3" s="65" t="s">
        <v>35</v>
      </c>
      <c r="R3" s="65" t="s">
        <v>46</v>
      </c>
    </row>
    <row r="4" ht="20" customHeight="1" spans="1:18">
      <c r="A4" s="66" t="s">
        <v>499</v>
      </c>
      <c r="B4" s="34">
        <f>SUM(B5:B6)</f>
        <v>53000</v>
      </c>
      <c r="C4" s="34">
        <f>SUM(C5:C6)</f>
        <v>16350</v>
      </c>
      <c r="D4" s="34">
        <f>SUM(D5:D6)</f>
        <v>16582</v>
      </c>
      <c r="E4" s="67">
        <f t="shared" ref="E4:E11" si="0">D4/C4</f>
        <v>1.01418960244648</v>
      </c>
      <c r="F4" s="34">
        <f>SUM(F5:F6)</f>
        <v>14070</v>
      </c>
      <c r="G4" s="34">
        <f>SUM(G5:G6)</f>
        <v>8218</v>
      </c>
      <c r="H4" s="34">
        <f>SUM(H5:H6)</f>
        <v>-3770</v>
      </c>
      <c r="I4" s="34">
        <f>SUM(I5:I6)</f>
        <v>10300</v>
      </c>
      <c r="J4" s="68" t="s">
        <v>539</v>
      </c>
      <c r="K4" s="50">
        <v>1245</v>
      </c>
      <c r="L4" s="50">
        <f>474+26+2200+75</f>
        <v>2775</v>
      </c>
      <c r="M4" s="34">
        <v>2674</v>
      </c>
      <c r="N4" s="67">
        <f>M4/L4</f>
        <v>0.963603603603604</v>
      </c>
      <c r="O4" s="34">
        <f>12390+700-39</f>
        <v>13051</v>
      </c>
      <c r="P4" s="77">
        <f>5243-3000+7498</f>
        <v>9741</v>
      </c>
      <c r="Q4" s="77">
        <f>R4-O4</f>
        <v>-2286</v>
      </c>
      <c r="R4" s="77">
        <f>5252-3000+15+7498+100+600+100+200</f>
        <v>10765</v>
      </c>
    </row>
    <row r="5" ht="20" customHeight="1" spans="1:18">
      <c r="A5" s="68" t="s">
        <v>540</v>
      </c>
      <c r="B5" s="39"/>
      <c r="C5" s="39">
        <f>71+4+75</f>
        <v>150</v>
      </c>
      <c r="D5" s="39">
        <v>147</v>
      </c>
      <c r="E5" s="67">
        <f t="shared" si="0"/>
        <v>0.98</v>
      </c>
      <c r="F5" s="39">
        <v>70</v>
      </c>
      <c r="G5" s="39">
        <v>11</v>
      </c>
      <c r="H5" s="39">
        <v>30</v>
      </c>
      <c r="I5" s="39">
        <f>F5+H5</f>
        <v>100</v>
      </c>
      <c r="J5" s="68" t="s">
        <v>541</v>
      </c>
      <c r="K5" s="50">
        <v>325</v>
      </c>
      <c r="L5" s="50">
        <v>335</v>
      </c>
      <c r="M5" s="50">
        <v>336</v>
      </c>
      <c r="N5" s="67">
        <f>M5/L5</f>
        <v>1.00298507462687</v>
      </c>
      <c r="O5" s="50">
        <v>812</v>
      </c>
      <c r="P5" s="77">
        <v>829</v>
      </c>
      <c r="Q5" s="77">
        <f>R5-O5</f>
        <v>17</v>
      </c>
      <c r="R5" s="77">
        <v>829</v>
      </c>
    </row>
    <row r="6" ht="20" customHeight="1" spans="1:18">
      <c r="A6" s="68" t="s">
        <v>542</v>
      </c>
      <c r="B6" s="39">
        <v>53000</v>
      </c>
      <c r="C6" s="39">
        <v>16200</v>
      </c>
      <c r="D6" s="39">
        <v>16435</v>
      </c>
      <c r="E6" s="67">
        <f t="shared" si="0"/>
        <v>1.01450617283951</v>
      </c>
      <c r="F6" s="39">
        <v>14000</v>
      </c>
      <c r="G6" s="39">
        <v>8207</v>
      </c>
      <c r="H6" s="39">
        <f>-4700+600+100+200</f>
        <v>-3800</v>
      </c>
      <c r="I6" s="39">
        <f>F6+H6</f>
        <v>10200</v>
      </c>
      <c r="J6" s="68" t="s">
        <v>543</v>
      </c>
      <c r="K6" s="50">
        <v>5000</v>
      </c>
      <c r="L6" s="50">
        <v>15000</v>
      </c>
      <c r="M6" s="50">
        <v>15000</v>
      </c>
      <c r="N6" s="67">
        <f>M6/L6</f>
        <v>1</v>
      </c>
      <c r="O6" s="50">
        <v>15000</v>
      </c>
      <c r="P6" s="77">
        <v>15000</v>
      </c>
      <c r="Q6" s="77">
        <f>R6-O6</f>
        <v>0</v>
      </c>
      <c r="R6" s="77">
        <v>15000</v>
      </c>
    </row>
    <row r="7" ht="20" customHeight="1" spans="1:18">
      <c r="A7" s="69" t="s">
        <v>544</v>
      </c>
      <c r="B7" s="39">
        <v>2200</v>
      </c>
      <c r="C7" s="39">
        <f>5376+9</f>
        <v>5385</v>
      </c>
      <c r="D7" s="39">
        <v>5483</v>
      </c>
      <c r="E7" s="67">
        <f t="shared" si="0"/>
        <v>1.01819870009285</v>
      </c>
      <c r="F7" s="39">
        <v>5000</v>
      </c>
      <c r="G7" s="39">
        <v>2366</v>
      </c>
      <c r="H7" s="39"/>
      <c r="I7" s="39">
        <v>5000</v>
      </c>
      <c r="J7" s="68" t="s">
        <v>545</v>
      </c>
      <c r="K7" s="50"/>
      <c r="L7" s="50"/>
      <c r="M7" s="50"/>
      <c r="N7" s="67"/>
      <c r="O7" s="50"/>
      <c r="P7" s="77"/>
      <c r="Q7" s="77">
        <v>6720</v>
      </c>
      <c r="R7" s="77">
        <f>8163-1443</f>
        <v>6720</v>
      </c>
    </row>
    <row r="8" ht="20" customHeight="1" spans="1:18">
      <c r="A8" s="66" t="s">
        <v>196</v>
      </c>
      <c r="B8" s="39">
        <v>20</v>
      </c>
      <c r="C8" s="39">
        <v>21</v>
      </c>
      <c r="D8" s="39">
        <v>21</v>
      </c>
      <c r="E8" s="67">
        <f t="shared" si="0"/>
        <v>1</v>
      </c>
      <c r="F8" s="39">
        <v>343</v>
      </c>
      <c r="G8" s="39">
        <v>343</v>
      </c>
      <c r="H8" s="39">
        <v>1</v>
      </c>
      <c r="I8" s="39">
        <v>344</v>
      </c>
      <c r="J8" s="69" t="s">
        <v>179</v>
      </c>
      <c r="K8" s="50">
        <f>SUM(K4:K7)</f>
        <v>6570</v>
      </c>
      <c r="L8" s="50">
        <f>SUM(L4:L7)</f>
        <v>18110</v>
      </c>
      <c r="M8" s="50">
        <f>SUM(M4:M7)</f>
        <v>18010</v>
      </c>
      <c r="N8" s="67">
        <f>M8/L8</f>
        <v>0.994478188845942</v>
      </c>
      <c r="O8" s="50">
        <f>SUM(O4:O7)</f>
        <v>28863</v>
      </c>
      <c r="P8" s="50">
        <f>SUM(P4:P7)</f>
        <v>25570</v>
      </c>
      <c r="Q8" s="50">
        <f>SUM(Q4:Q7)</f>
        <v>4451</v>
      </c>
      <c r="R8" s="50">
        <f>SUM(R4:R7)</f>
        <v>33314</v>
      </c>
    </row>
    <row r="9" ht="20" customHeight="1" spans="1:18">
      <c r="A9" s="66" t="s">
        <v>546</v>
      </c>
      <c r="B9" s="34">
        <v>5000</v>
      </c>
      <c r="C9" s="39">
        <v>15000</v>
      </c>
      <c r="D9" s="39">
        <f>D10</f>
        <v>15000</v>
      </c>
      <c r="E9" s="67">
        <f t="shared" si="0"/>
        <v>1</v>
      </c>
      <c r="F9" s="39">
        <v>15000</v>
      </c>
      <c r="G9" s="39">
        <v>15000</v>
      </c>
      <c r="H9" s="39">
        <f>I9-F9</f>
        <v>0</v>
      </c>
      <c r="I9" s="39">
        <v>15000</v>
      </c>
      <c r="J9" s="69" t="s">
        <v>547</v>
      </c>
      <c r="K9" s="39">
        <f>SUM(K10:K15)</f>
        <v>2200</v>
      </c>
      <c r="L9" s="39">
        <f>SUM(L10:L15)</f>
        <v>5385</v>
      </c>
      <c r="M9" s="39">
        <f>SUM(M10:M15)</f>
        <v>5483</v>
      </c>
      <c r="N9" s="67">
        <f>M9/L9</f>
        <v>1.01819870009285</v>
      </c>
      <c r="O9" s="39">
        <f>SUM(O10:O15)</f>
        <v>5000</v>
      </c>
      <c r="P9" s="39">
        <f>SUM(P10:P15)</f>
        <v>0</v>
      </c>
      <c r="Q9" s="39">
        <f>SUM(Q10:Q15)</f>
        <v>0</v>
      </c>
      <c r="R9" s="39">
        <f>SUM(R10:R15)</f>
        <v>5000</v>
      </c>
    </row>
    <row r="10" ht="20" customHeight="1" spans="1:18">
      <c r="A10" s="68" t="s">
        <v>548</v>
      </c>
      <c r="B10" s="39">
        <v>5000</v>
      </c>
      <c r="C10" s="39">
        <v>15000</v>
      </c>
      <c r="D10" s="34">
        <v>15000</v>
      </c>
      <c r="E10" s="67">
        <f t="shared" si="0"/>
        <v>1</v>
      </c>
      <c r="F10" s="34">
        <v>15000</v>
      </c>
      <c r="G10" s="34">
        <v>15000</v>
      </c>
      <c r="H10" s="39">
        <f>I10-F10</f>
        <v>0</v>
      </c>
      <c r="I10" s="34">
        <v>15000</v>
      </c>
      <c r="J10" s="78" t="s">
        <v>549</v>
      </c>
      <c r="K10" s="50"/>
      <c r="L10" s="50">
        <v>35</v>
      </c>
      <c r="M10" s="39">
        <v>35</v>
      </c>
      <c r="N10" s="67">
        <f>M10/L10</f>
        <v>1</v>
      </c>
      <c r="O10" s="39"/>
      <c r="P10" s="77"/>
      <c r="Q10" s="77"/>
      <c r="R10" s="77">
        <f>O10+Q10</f>
        <v>0</v>
      </c>
    </row>
    <row r="11" ht="20" customHeight="1" spans="1:18">
      <c r="A11" s="66" t="s">
        <v>519</v>
      </c>
      <c r="B11" s="34"/>
      <c r="C11" s="34">
        <v>2200</v>
      </c>
      <c r="D11" s="39">
        <v>2200</v>
      </c>
      <c r="E11" s="67">
        <f t="shared" si="0"/>
        <v>1</v>
      </c>
      <c r="F11" s="39">
        <v>700</v>
      </c>
      <c r="G11" s="39"/>
      <c r="H11" s="39">
        <v>1500</v>
      </c>
      <c r="I11" s="39">
        <v>2200</v>
      </c>
      <c r="J11" s="68" t="s">
        <v>550</v>
      </c>
      <c r="K11" s="50">
        <v>1400</v>
      </c>
      <c r="L11" s="50">
        <f>4188+2</f>
        <v>4190</v>
      </c>
      <c r="M11" s="39">
        <v>4188</v>
      </c>
      <c r="N11" s="67">
        <f>M11/L11</f>
        <v>0.999522673031026</v>
      </c>
      <c r="O11" s="50">
        <v>4000</v>
      </c>
      <c r="P11" s="77"/>
      <c r="Q11" s="77">
        <v>-150</v>
      </c>
      <c r="R11" s="77">
        <f>O11+Q11</f>
        <v>3850</v>
      </c>
    </row>
    <row r="12" ht="20" customHeight="1" spans="1:18">
      <c r="A12" s="66" t="s">
        <v>521</v>
      </c>
      <c r="B12" s="39"/>
      <c r="C12" s="39"/>
      <c r="D12" s="39"/>
      <c r="E12" s="67"/>
      <c r="F12" s="39"/>
      <c r="G12" s="39"/>
      <c r="H12" s="39">
        <f>I12-F12</f>
        <v>8163</v>
      </c>
      <c r="I12" s="39">
        <v>8163</v>
      </c>
      <c r="J12" s="68" t="s">
        <v>551</v>
      </c>
      <c r="K12" s="50"/>
      <c r="L12" s="50"/>
      <c r="M12" s="50"/>
      <c r="N12" s="67"/>
      <c r="O12" s="50"/>
      <c r="P12" s="77"/>
      <c r="Q12" s="77">
        <v>150</v>
      </c>
      <c r="R12" s="77">
        <f>O12+Q12</f>
        <v>150</v>
      </c>
    </row>
    <row r="13" ht="20" customHeight="1" spans="1:18">
      <c r="A13" s="68"/>
      <c r="B13" s="39"/>
      <c r="C13" s="39"/>
      <c r="D13" s="39"/>
      <c r="E13" s="67"/>
      <c r="F13" s="39"/>
      <c r="G13" s="39"/>
      <c r="H13" s="39"/>
      <c r="I13" s="39"/>
      <c r="J13" s="68" t="s">
        <v>552</v>
      </c>
      <c r="K13" s="50"/>
      <c r="L13" s="50">
        <v>10</v>
      </c>
      <c r="M13" s="50">
        <v>10</v>
      </c>
      <c r="N13" s="67">
        <f>M13/L13</f>
        <v>1</v>
      </c>
      <c r="O13" s="50"/>
      <c r="P13" s="77"/>
      <c r="Q13" s="77"/>
      <c r="R13" s="77">
        <f>O13+Q13</f>
        <v>0</v>
      </c>
    </row>
    <row r="14" ht="20" customHeight="1" spans="1:18">
      <c r="A14" s="68"/>
      <c r="B14" s="39"/>
      <c r="C14" s="39"/>
      <c r="D14" s="39"/>
      <c r="E14" s="67"/>
      <c r="F14" s="39"/>
      <c r="G14" s="39"/>
      <c r="H14" s="39"/>
      <c r="I14" s="39"/>
      <c r="J14" s="68" t="s">
        <v>553</v>
      </c>
      <c r="K14" s="50"/>
      <c r="L14" s="50"/>
      <c r="M14" s="50"/>
      <c r="N14" s="67"/>
      <c r="O14" s="50">
        <v>1000</v>
      </c>
      <c r="P14" s="77"/>
      <c r="Q14" s="77">
        <v>-200</v>
      </c>
      <c r="R14" s="77">
        <v>800</v>
      </c>
    </row>
    <row r="15" ht="20" customHeight="1" spans="1:18">
      <c r="A15" s="68"/>
      <c r="B15" s="39"/>
      <c r="C15" s="39"/>
      <c r="D15" s="39"/>
      <c r="E15" s="67"/>
      <c r="F15" s="39"/>
      <c r="G15" s="39"/>
      <c r="H15" s="39"/>
      <c r="I15" s="39"/>
      <c r="J15" s="68" t="s">
        <v>554</v>
      </c>
      <c r="K15" s="50">
        <v>800</v>
      </c>
      <c r="L15" s="50">
        <f>1143+7</f>
        <v>1150</v>
      </c>
      <c r="M15" s="50">
        <f>1211+39</f>
        <v>1250</v>
      </c>
      <c r="N15" s="67">
        <f t="shared" ref="N15:N22" si="1">M15/L15</f>
        <v>1.08695652173913</v>
      </c>
      <c r="O15" s="50"/>
      <c r="P15" s="77"/>
      <c r="Q15" s="77">
        <v>200</v>
      </c>
      <c r="R15" s="77">
        <f>O15+Q15</f>
        <v>200</v>
      </c>
    </row>
    <row r="16" ht="20" customHeight="1" spans="1:18">
      <c r="A16" s="34" t="s">
        <v>206</v>
      </c>
      <c r="B16" s="39">
        <v>60220</v>
      </c>
      <c r="C16" s="39">
        <f>C4+C7+C8+C9+C11</f>
        <v>38956</v>
      </c>
      <c r="D16" s="39">
        <f>D4+D7+D8+D9+D11</f>
        <v>39286</v>
      </c>
      <c r="E16" s="67">
        <f t="shared" ref="E15:E22" si="2">D16/C16</f>
        <v>1.00847109559503</v>
      </c>
      <c r="F16" s="39">
        <f>F4+F7+F8+F9+F11+F12</f>
        <v>35113</v>
      </c>
      <c r="G16" s="39">
        <f>G4+G7+G8+G9+G11+G12</f>
        <v>25927</v>
      </c>
      <c r="H16" s="39">
        <f>H4+H7+H8+H9+H11+H12</f>
        <v>5894</v>
      </c>
      <c r="I16" s="39">
        <f>I4+I7+I8+I9+I11+I12</f>
        <v>41007</v>
      </c>
      <c r="J16" s="34" t="s">
        <v>207</v>
      </c>
      <c r="K16" s="50">
        <f>K8+K9</f>
        <v>8770</v>
      </c>
      <c r="L16" s="50">
        <f>L8+L9</f>
        <v>23495</v>
      </c>
      <c r="M16" s="50">
        <f>M8+M9</f>
        <v>23493</v>
      </c>
      <c r="N16" s="67">
        <f t="shared" si="1"/>
        <v>0.999914875505427</v>
      </c>
      <c r="O16" s="50">
        <f>O8+O9</f>
        <v>33863</v>
      </c>
      <c r="P16" s="50">
        <f>P8+P9</f>
        <v>25570</v>
      </c>
      <c r="Q16" s="50">
        <f>Q8+Q9</f>
        <v>4451</v>
      </c>
      <c r="R16" s="50">
        <f>R8+R9</f>
        <v>38314</v>
      </c>
    </row>
    <row r="17" ht="20" customHeight="1" spans="1:18">
      <c r="A17" s="70"/>
      <c r="B17" s="71"/>
      <c r="C17" s="39"/>
      <c r="D17" s="39"/>
      <c r="E17" s="67"/>
      <c r="F17" s="39"/>
      <c r="G17" s="39"/>
      <c r="H17" s="39"/>
      <c r="I17" s="39"/>
      <c r="J17" s="69" t="s">
        <v>527</v>
      </c>
      <c r="K17" s="50">
        <f>K18</f>
        <v>0</v>
      </c>
      <c r="L17" s="50">
        <f>L18</f>
        <v>0</v>
      </c>
      <c r="M17" s="50">
        <f>M18</f>
        <v>0</v>
      </c>
      <c r="N17" s="67"/>
      <c r="O17" s="50">
        <f>O18</f>
        <v>800</v>
      </c>
      <c r="P17" s="50">
        <f>P18</f>
        <v>0</v>
      </c>
      <c r="Q17" s="50">
        <f>Q18</f>
        <v>0</v>
      </c>
      <c r="R17" s="50">
        <f>R18</f>
        <v>800</v>
      </c>
    </row>
    <row r="18" ht="20" customHeight="1" spans="1:18">
      <c r="A18" s="70"/>
      <c r="B18" s="71"/>
      <c r="C18" s="39"/>
      <c r="D18" s="39"/>
      <c r="E18" s="67"/>
      <c r="F18" s="39"/>
      <c r="G18" s="39"/>
      <c r="H18" s="39"/>
      <c r="I18" s="39"/>
      <c r="J18" s="78" t="s">
        <v>528</v>
      </c>
      <c r="K18" s="50"/>
      <c r="L18" s="50"/>
      <c r="M18" s="39"/>
      <c r="N18" s="67"/>
      <c r="O18" s="50">
        <v>800</v>
      </c>
      <c r="P18" s="77"/>
      <c r="Q18" s="77">
        <f>R18-O18</f>
        <v>0</v>
      </c>
      <c r="R18" s="77">
        <v>800</v>
      </c>
    </row>
    <row r="19" ht="20" customHeight="1" spans="1:18">
      <c r="A19" s="70"/>
      <c r="B19" s="71"/>
      <c r="C19" s="39"/>
      <c r="D19" s="39"/>
      <c r="E19" s="67"/>
      <c r="F19" s="39"/>
      <c r="G19" s="39"/>
      <c r="H19" s="39"/>
      <c r="I19" s="39"/>
      <c r="J19" s="68" t="s">
        <v>529</v>
      </c>
      <c r="K19" s="50">
        <v>6000</v>
      </c>
      <c r="L19" s="50"/>
      <c r="M19" s="50"/>
      <c r="N19" s="67"/>
      <c r="O19" s="50"/>
      <c r="P19" s="77"/>
      <c r="Q19" s="77">
        <v>1443</v>
      </c>
      <c r="R19" s="77">
        <v>1443</v>
      </c>
    </row>
    <row r="20" ht="20" customHeight="1" spans="1:18">
      <c r="A20" s="66"/>
      <c r="B20" s="39"/>
      <c r="C20" s="39"/>
      <c r="D20" s="39"/>
      <c r="E20" s="67"/>
      <c r="F20" s="39"/>
      <c r="G20" s="39"/>
      <c r="H20" s="39"/>
      <c r="I20" s="39"/>
      <c r="J20" s="68" t="s">
        <v>531</v>
      </c>
      <c r="K20" s="50">
        <v>450</v>
      </c>
      <c r="L20" s="50">
        <v>450</v>
      </c>
      <c r="M20" s="50">
        <v>450</v>
      </c>
      <c r="N20" s="67"/>
      <c r="O20" s="50">
        <v>450</v>
      </c>
      <c r="P20" s="77"/>
      <c r="Q20" s="77">
        <f>R20-O20</f>
        <v>0</v>
      </c>
      <c r="R20" s="77">
        <v>450</v>
      </c>
    </row>
    <row r="21" ht="20" customHeight="1" spans="1:18">
      <c r="A21" s="68"/>
      <c r="B21" s="71"/>
      <c r="C21" s="39"/>
      <c r="D21" s="39"/>
      <c r="E21" s="67"/>
      <c r="F21" s="39"/>
      <c r="G21" s="39"/>
      <c r="H21" s="39"/>
      <c r="I21" s="39"/>
      <c r="J21" s="68" t="s">
        <v>532</v>
      </c>
      <c r="K21" s="50">
        <v>0</v>
      </c>
      <c r="L21" s="50">
        <f>L22-(L16+L17+L19+L20)</f>
        <v>15011</v>
      </c>
      <c r="M21" s="50">
        <f>M22-M16-M20</f>
        <v>15343</v>
      </c>
      <c r="N21" s="67"/>
      <c r="O21" s="50">
        <f>O22-O16-O17-O20</f>
        <v>0</v>
      </c>
      <c r="P21" s="77"/>
      <c r="Q21" s="77"/>
      <c r="R21" s="77">
        <f>R22-R16-R17-R20-R19</f>
        <v>0</v>
      </c>
    </row>
    <row r="22" ht="20" customHeight="1" spans="1:18">
      <c r="A22" s="70" t="s">
        <v>533</v>
      </c>
      <c r="B22" s="71">
        <v>60220</v>
      </c>
      <c r="C22" s="39">
        <f>C16</f>
        <v>38956</v>
      </c>
      <c r="D22" s="39">
        <f>D16</f>
        <v>39286</v>
      </c>
      <c r="E22" s="67">
        <f t="shared" si="2"/>
        <v>1.00847109559503</v>
      </c>
      <c r="F22" s="39">
        <f>F16</f>
        <v>35113</v>
      </c>
      <c r="G22" s="39">
        <f>G16</f>
        <v>25927</v>
      </c>
      <c r="H22" s="39">
        <f>H16</f>
        <v>5894</v>
      </c>
      <c r="I22" s="39">
        <f>I16</f>
        <v>41007</v>
      </c>
      <c r="J22" s="34" t="s">
        <v>534</v>
      </c>
      <c r="K22" s="50">
        <v>60220</v>
      </c>
      <c r="L22" s="50">
        <f>C22</f>
        <v>38956</v>
      </c>
      <c r="M22" s="39">
        <f>D22</f>
        <v>39286</v>
      </c>
      <c r="N22" s="67">
        <f t="shared" si="1"/>
        <v>1.00847109559503</v>
      </c>
      <c r="O22" s="50">
        <f>F22</f>
        <v>35113</v>
      </c>
      <c r="P22" s="50"/>
      <c r="Q22" s="50">
        <f>H22</f>
        <v>5894</v>
      </c>
      <c r="R22" s="50">
        <f>I22</f>
        <v>41007</v>
      </c>
    </row>
    <row r="23" spans="1:10">
      <c r="A23" s="72"/>
      <c r="B23" s="72"/>
      <c r="C23" s="72"/>
      <c r="D23" s="72"/>
      <c r="E23" s="72"/>
      <c r="F23" s="72"/>
      <c r="G23" s="72"/>
      <c r="H23" s="72"/>
      <c r="I23" s="72"/>
      <c r="J23" s="72"/>
    </row>
    <row r="24" ht="13.5" spans="1:1">
      <c r="A24" s="73"/>
    </row>
  </sheetData>
  <mergeCells count="2">
    <mergeCell ref="A1:R1"/>
    <mergeCell ref="P2:R2"/>
  </mergeCells>
  <printOptions horizontalCentered="1"/>
  <pageMargins left="0.2" right="0.2" top="0.786805555555556" bottom="0.393055555555556" header="0.507638888888889" footer="0.507638888888889"/>
  <pageSetup paperSize="9" scale="80" orientation="landscape" horizontalDpi="600" verticalDpi="600"/>
  <headerFooter>
    <oddFooter>&amp;C第 &amp;P 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showGridLines="0" showZeros="0" workbookViewId="0">
      <pane ySplit="3" topLeftCell="A27" activePane="bottomLeft" state="frozen"/>
      <selection/>
      <selection pane="bottomLeft" activeCell="I52" sqref="I52"/>
    </sheetView>
  </sheetViews>
  <sheetFormatPr defaultColWidth="9" defaultRowHeight="14.25"/>
  <cols>
    <col min="1" max="1" width="48.5" style="21" customWidth="1"/>
    <col min="2" max="4" width="8.125" style="22" hidden="1" customWidth="1"/>
    <col min="5" max="8" width="9" style="23" customWidth="1"/>
    <col min="9" max="9" width="44.125" style="21" customWidth="1"/>
    <col min="10" max="12" width="8.125" style="21" hidden="1" customWidth="1"/>
    <col min="13" max="13" width="8.125" style="21" customWidth="1"/>
    <col min="14" max="14" width="9" style="24"/>
    <col min="15" max="15" width="9.25" style="25"/>
    <col min="16" max="16" width="8.25" style="25" customWidth="1"/>
    <col min="17" max="17" width="10.25" style="24" customWidth="1"/>
    <col min="18" max="252" width="9" style="21"/>
    <col min="253" max="16381" width="9" style="26"/>
  </cols>
  <sheetData>
    <row r="1" ht="34.5" customHeight="1" spans="1:16">
      <c r="A1" s="27" t="s">
        <v>555</v>
      </c>
      <c r="B1" s="27"/>
      <c r="C1" s="27"/>
      <c r="D1" s="27"/>
      <c r="E1" s="27"/>
      <c r="F1" s="27"/>
      <c r="G1" s="27"/>
      <c r="H1" s="27"/>
      <c r="I1" s="27"/>
      <c r="J1" s="27"/>
      <c r="K1" s="27"/>
      <c r="L1" s="27"/>
      <c r="M1" s="27"/>
      <c r="N1" s="27"/>
      <c r="O1" s="27"/>
      <c r="P1" s="27"/>
    </row>
    <row r="2" ht="19.5" customHeight="1" spans="1:16">
      <c r="A2" s="28" t="s">
        <v>556</v>
      </c>
      <c r="B2" s="29"/>
      <c r="C2" s="29"/>
      <c r="D2" s="29"/>
      <c r="E2" s="30"/>
      <c r="F2" s="30"/>
      <c r="G2" s="30"/>
      <c r="H2" s="30"/>
      <c r="I2" s="28"/>
      <c r="J2" s="46"/>
      <c r="K2" s="46"/>
      <c r="L2" s="46"/>
      <c r="M2" s="46"/>
      <c r="N2" s="47" t="s">
        <v>27</v>
      </c>
      <c r="O2" s="47"/>
      <c r="P2" s="47"/>
    </row>
    <row r="3" ht="43.5" customHeight="1" spans="1:16">
      <c r="A3" s="31" t="s">
        <v>557</v>
      </c>
      <c r="B3" s="32" t="s">
        <v>558</v>
      </c>
      <c r="C3" s="32" t="s">
        <v>497</v>
      </c>
      <c r="D3" s="32" t="s">
        <v>559</v>
      </c>
      <c r="E3" s="33" t="s">
        <v>560</v>
      </c>
      <c r="F3" s="34" t="s">
        <v>34</v>
      </c>
      <c r="G3" s="34" t="s">
        <v>35</v>
      </c>
      <c r="H3" s="34" t="s">
        <v>46</v>
      </c>
      <c r="I3" s="31" t="s">
        <v>561</v>
      </c>
      <c r="J3" s="32" t="s">
        <v>562</v>
      </c>
      <c r="K3" s="32" t="s">
        <v>497</v>
      </c>
      <c r="L3" s="32" t="s">
        <v>559</v>
      </c>
      <c r="M3" s="32" t="s">
        <v>560</v>
      </c>
      <c r="N3" s="48" t="s">
        <v>228</v>
      </c>
      <c r="O3" s="48" t="s">
        <v>35</v>
      </c>
      <c r="P3" s="48" t="s">
        <v>36</v>
      </c>
    </row>
    <row r="4" ht="20" customHeight="1" spans="1:16">
      <c r="A4" s="35" t="s">
        <v>563</v>
      </c>
      <c r="B4" s="36">
        <f>SUM(B5:B7)</f>
        <v>47</v>
      </c>
      <c r="C4" s="36">
        <f>SUM(C5:C7)</f>
        <v>311</v>
      </c>
      <c r="D4" s="37">
        <f>C4/B4</f>
        <v>6.61702127659574</v>
      </c>
      <c r="E4" s="36">
        <f>SUM(E5:E8)</f>
        <v>634</v>
      </c>
      <c r="F4" s="36">
        <f>SUM(F5:F8)</f>
        <v>1102</v>
      </c>
      <c r="G4" s="36">
        <f>SUM(G5:G8)</f>
        <v>488</v>
      </c>
      <c r="H4" s="36">
        <f>SUM(H5:H8)</f>
        <v>1122</v>
      </c>
      <c r="I4" s="35" t="s">
        <v>564</v>
      </c>
      <c r="J4" s="36">
        <f>SUM(J5:J6)</f>
        <v>47</v>
      </c>
      <c r="K4" s="36">
        <f>SUM(K5:K6)</f>
        <v>301</v>
      </c>
      <c r="L4" s="37">
        <f>K4/J4</f>
        <v>6.40425531914894</v>
      </c>
      <c r="M4" s="36">
        <f>SUM(M5:M6)</f>
        <v>578</v>
      </c>
      <c r="N4" s="36">
        <f>SUM(N5:N6)</f>
        <v>1043</v>
      </c>
      <c r="O4" s="36">
        <f>SUM(O5:O6)</f>
        <v>509</v>
      </c>
      <c r="P4" s="36">
        <f>SUM(P5:P6)</f>
        <v>1087</v>
      </c>
    </row>
    <row r="5" ht="20" customHeight="1" spans="1:16">
      <c r="A5" s="38" t="s">
        <v>565</v>
      </c>
      <c r="B5" s="39">
        <v>30</v>
      </c>
      <c r="C5" s="39">
        <v>32</v>
      </c>
      <c r="D5" s="37">
        <f>C5/B5</f>
        <v>1.06666666666667</v>
      </c>
      <c r="E5" s="39">
        <v>211</v>
      </c>
      <c r="F5" s="39">
        <v>225</v>
      </c>
      <c r="G5" s="39">
        <f t="shared" ref="G5:G12" si="0">H5-E5</f>
        <v>25</v>
      </c>
      <c r="H5" s="39">
        <v>236</v>
      </c>
      <c r="I5" s="40" t="s">
        <v>566</v>
      </c>
      <c r="J5" s="42">
        <v>47</v>
      </c>
      <c r="K5" s="36">
        <v>157</v>
      </c>
      <c r="L5" s="37">
        <f>K5/J5</f>
        <v>3.34042553191489</v>
      </c>
      <c r="M5" s="42">
        <v>167</v>
      </c>
      <c r="N5" s="48">
        <v>702</v>
      </c>
      <c r="O5" s="48">
        <f>P5-M5</f>
        <v>535</v>
      </c>
      <c r="P5" s="48">
        <v>702</v>
      </c>
    </row>
    <row r="6" ht="20" customHeight="1" spans="1:16">
      <c r="A6" s="38" t="s">
        <v>567</v>
      </c>
      <c r="B6" s="39">
        <v>17</v>
      </c>
      <c r="C6" s="39">
        <v>123</v>
      </c>
      <c r="D6" s="37">
        <f>C6/B6</f>
        <v>7.23529411764706</v>
      </c>
      <c r="E6" s="39">
        <v>200</v>
      </c>
      <c r="F6" s="39">
        <v>144</v>
      </c>
      <c r="G6" s="39">
        <f t="shared" si="0"/>
        <v>-45</v>
      </c>
      <c r="H6" s="39">
        <v>155</v>
      </c>
      <c r="I6" s="40" t="s">
        <v>568</v>
      </c>
      <c r="J6" s="40"/>
      <c r="K6" s="36">
        <v>144</v>
      </c>
      <c r="L6" s="40"/>
      <c r="M6" s="42">
        <v>411</v>
      </c>
      <c r="N6" s="48">
        <v>341</v>
      </c>
      <c r="O6" s="48">
        <f>P6-M6</f>
        <v>-26</v>
      </c>
      <c r="P6" s="48">
        <v>385</v>
      </c>
    </row>
    <row r="7" ht="20" customHeight="1" spans="1:16">
      <c r="A7" s="38" t="s">
        <v>569</v>
      </c>
      <c r="B7" s="39"/>
      <c r="C7" s="39">
        <v>156</v>
      </c>
      <c r="D7" s="37"/>
      <c r="E7" s="39">
        <v>213</v>
      </c>
      <c r="F7" s="39">
        <v>728</v>
      </c>
      <c r="G7" s="39">
        <f t="shared" si="0"/>
        <v>513</v>
      </c>
      <c r="H7" s="39">
        <v>726</v>
      </c>
      <c r="I7" s="35" t="s">
        <v>570</v>
      </c>
      <c r="J7" s="36">
        <f>J8</f>
        <v>330</v>
      </c>
      <c r="K7" s="36">
        <f>K8</f>
        <v>97.62</v>
      </c>
      <c r="L7" s="37">
        <f>K7/J7</f>
        <v>0.295818181818182</v>
      </c>
      <c r="M7" s="36">
        <f>M8</f>
        <v>101</v>
      </c>
      <c r="N7" s="36">
        <f>N8</f>
        <v>140</v>
      </c>
      <c r="O7" s="36">
        <f>O8</f>
        <v>135</v>
      </c>
      <c r="P7" s="36">
        <f>P8</f>
        <v>236</v>
      </c>
    </row>
    <row r="8" ht="20" customHeight="1" spans="1:16">
      <c r="A8" s="40" t="s">
        <v>571</v>
      </c>
      <c r="B8" s="41"/>
      <c r="C8" s="41"/>
      <c r="D8" s="41"/>
      <c r="E8" s="42">
        <v>10</v>
      </c>
      <c r="F8" s="42">
        <v>5</v>
      </c>
      <c r="G8" s="39">
        <f t="shared" si="0"/>
        <v>-5</v>
      </c>
      <c r="H8" s="42">
        <v>5</v>
      </c>
      <c r="I8" s="40" t="s">
        <v>572</v>
      </c>
      <c r="J8" s="42">
        <v>330</v>
      </c>
      <c r="K8" s="36">
        <v>97.62</v>
      </c>
      <c r="L8" s="37">
        <f t="shared" ref="L8:L22" si="1">K8/J8</f>
        <v>0.295818181818182</v>
      </c>
      <c r="M8" s="42">
        <v>101</v>
      </c>
      <c r="N8" s="48">
        <v>140</v>
      </c>
      <c r="O8" s="48">
        <f>P8-M8</f>
        <v>135</v>
      </c>
      <c r="P8" s="48">
        <v>236</v>
      </c>
    </row>
    <row r="9" ht="20" customHeight="1" spans="1:16">
      <c r="A9" s="35" t="s">
        <v>573</v>
      </c>
      <c r="B9" s="36">
        <f>SUM(B10:B12)</f>
        <v>334</v>
      </c>
      <c r="C9" s="36">
        <f>SUM(C10:C12)</f>
        <v>162</v>
      </c>
      <c r="D9" s="37">
        <f t="shared" ref="D9:D36" si="2">C9/B9</f>
        <v>0.48502994011976</v>
      </c>
      <c r="E9" s="36">
        <f>SUM(E10:E12)</f>
        <v>220</v>
      </c>
      <c r="F9" s="36">
        <f>SUM(F10:F12)</f>
        <v>230</v>
      </c>
      <c r="G9" s="39">
        <f t="shared" si="0"/>
        <v>17</v>
      </c>
      <c r="H9" s="36">
        <f>SUM(H10:H12)</f>
        <v>237</v>
      </c>
      <c r="I9" s="35" t="s">
        <v>574</v>
      </c>
      <c r="J9" s="36">
        <f>J10</f>
        <v>110</v>
      </c>
      <c r="K9" s="36">
        <f>K10</f>
        <v>64</v>
      </c>
      <c r="L9" s="37">
        <f t="shared" si="1"/>
        <v>0.581818181818182</v>
      </c>
      <c r="M9" s="36">
        <f>M10</f>
        <v>0</v>
      </c>
      <c r="N9" s="48"/>
      <c r="O9" s="48"/>
      <c r="P9" s="48"/>
    </row>
    <row r="10" ht="20" customHeight="1" spans="1:16">
      <c r="A10" s="38" t="s">
        <v>565</v>
      </c>
      <c r="B10" s="36">
        <v>235</v>
      </c>
      <c r="C10" s="36"/>
      <c r="D10" s="37">
        <f t="shared" si="2"/>
        <v>0</v>
      </c>
      <c r="E10" s="36"/>
      <c r="F10" s="36"/>
      <c r="G10" s="39">
        <f t="shared" si="0"/>
        <v>0</v>
      </c>
      <c r="H10" s="36"/>
      <c r="I10" s="49" t="s">
        <v>575</v>
      </c>
      <c r="J10" s="50">
        <v>110</v>
      </c>
      <c r="K10" s="36">
        <v>64</v>
      </c>
      <c r="L10" s="37">
        <f t="shared" si="1"/>
        <v>0.581818181818182</v>
      </c>
      <c r="M10" s="50"/>
      <c r="N10" s="48"/>
      <c r="O10" s="48"/>
      <c r="P10" s="48"/>
    </row>
    <row r="11" ht="20" customHeight="1" spans="1:17">
      <c r="A11" s="38" t="s">
        <v>567</v>
      </c>
      <c r="B11" s="36">
        <v>90</v>
      </c>
      <c r="C11" s="36">
        <v>151</v>
      </c>
      <c r="D11" s="37">
        <f t="shared" si="2"/>
        <v>1.67777777777778</v>
      </c>
      <c r="E11" s="36">
        <v>156</v>
      </c>
      <c r="F11" s="36">
        <v>176</v>
      </c>
      <c r="G11" s="39">
        <f t="shared" si="0"/>
        <v>27</v>
      </c>
      <c r="H11" s="36">
        <v>183</v>
      </c>
      <c r="I11" s="51" t="s">
        <v>576</v>
      </c>
      <c r="J11" s="42">
        <v>3800</v>
      </c>
      <c r="K11" s="36">
        <v>5606</v>
      </c>
      <c r="L11" s="37">
        <f t="shared" si="1"/>
        <v>1.47526315789474</v>
      </c>
      <c r="M11" s="42">
        <v>5500</v>
      </c>
      <c r="N11" s="42">
        <v>4450</v>
      </c>
      <c r="O11" s="42">
        <f>P11-M11</f>
        <v>-900</v>
      </c>
      <c r="P11" s="42">
        <v>4600</v>
      </c>
      <c r="Q11" s="24" t="s">
        <v>577</v>
      </c>
    </row>
    <row r="12" ht="20" customHeight="1" spans="1:16">
      <c r="A12" s="38" t="s">
        <v>571</v>
      </c>
      <c r="B12" s="42">
        <v>9</v>
      </c>
      <c r="C12" s="42">
        <v>11</v>
      </c>
      <c r="D12" s="37">
        <f t="shared" si="2"/>
        <v>1.22222222222222</v>
      </c>
      <c r="E12" s="42">
        <v>64</v>
      </c>
      <c r="F12" s="42">
        <v>54</v>
      </c>
      <c r="G12" s="39">
        <f t="shared" si="0"/>
        <v>-10</v>
      </c>
      <c r="H12" s="42">
        <v>54</v>
      </c>
      <c r="I12" s="35" t="s">
        <v>578</v>
      </c>
      <c r="J12" s="36">
        <f>SUM(J13:J18)</f>
        <v>21926</v>
      </c>
      <c r="K12" s="36">
        <f>SUM(K13:K18)</f>
        <v>27326</v>
      </c>
      <c r="L12" s="37">
        <f t="shared" si="1"/>
        <v>1.24628295174678</v>
      </c>
      <c r="M12" s="36">
        <f>SUM(M13:M18)</f>
        <v>24917</v>
      </c>
      <c r="N12" s="36">
        <f>SUM(N13:N18)</f>
        <v>18398</v>
      </c>
      <c r="O12" s="36">
        <f>SUM(O13:O18)</f>
        <v>-2543</v>
      </c>
      <c r="P12" s="36">
        <f>SUM(P13:P18)</f>
        <v>22374</v>
      </c>
    </row>
    <row r="13" ht="20" customHeight="1" spans="1:16">
      <c r="A13" s="35" t="s">
        <v>579</v>
      </c>
      <c r="B13" s="36">
        <f>SUM(B14:B16)</f>
        <v>246</v>
      </c>
      <c r="C13" s="36">
        <f>SUM(C14:C16)</f>
        <v>263</v>
      </c>
      <c r="D13" s="37">
        <f t="shared" si="2"/>
        <v>1.06910569105691</v>
      </c>
      <c r="E13" s="36">
        <f>SUM(E14:E16)</f>
        <v>199</v>
      </c>
      <c r="F13" s="36">
        <f>SUM(F14:F16)</f>
        <v>0</v>
      </c>
      <c r="G13" s="36">
        <f>SUM(G14:G16)</f>
        <v>-199</v>
      </c>
      <c r="H13" s="36">
        <f>SUM(H14:H16)</f>
        <v>0</v>
      </c>
      <c r="I13" s="40" t="s">
        <v>580</v>
      </c>
      <c r="J13" s="42">
        <v>16718</v>
      </c>
      <c r="K13" s="36">
        <v>20247</v>
      </c>
      <c r="L13" s="37">
        <f t="shared" si="1"/>
        <v>1.21108984328269</v>
      </c>
      <c r="M13" s="42">
        <v>18826</v>
      </c>
      <c r="N13" s="48">
        <v>14799</v>
      </c>
      <c r="O13" s="48">
        <f t="shared" ref="O13:O18" si="3">P13-M13</f>
        <v>-2076</v>
      </c>
      <c r="P13" s="48">
        <v>16750</v>
      </c>
    </row>
    <row r="14" ht="20" customHeight="1" spans="1:16">
      <c r="A14" s="38" t="s">
        <v>565</v>
      </c>
      <c r="B14" s="36">
        <v>78</v>
      </c>
      <c r="C14" s="36">
        <v>118</v>
      </c>
      <c r="D14" s="37">
        <f t="shared" si="2"/>
        <v>1.51282051282051</v>
      </c>
      <c r="E14" s="36"/>
      <c r="F14" s="36"/>
      <c r="G14" s="36">
        <f>H14-E14</f>
        <v>0</v>
      </c>
      <c r="H14" s="36"/>
      <c r="I14" s="52" t="s">
        <v>581</v>
      </c>
      <c r="J14" s="42">
        <v>1924</v>
      </c>
      <c r="K14" s="36">
        <v>2744</v>
      </c>
      <c r="L14" s="37">
        <f t="shared" si="1"/>
        <v>1.42619542619543</v>
      </c>
      <c r="M14" s="42">
        <v>2754</v>
      </c>
      <c r="N14" s="48">
        <v>1176</v>
      </c>
      <c r="O14" s="48">
        <f t="shared" si="3"/>
        <v>-519</v>
      </c>
      <c r="P14" s="48">
        <v>2235</v>
      </c>
    </row>
    <row r="15" ht="20" customHeight="1" spans="1:16">
      <c r="A15" s="38" t="s">
        <v>567</v>
      </c>
      <c r="B15" s="36">
        <v>48</v>
      </c>
      <c r="C15" s="36">
        <v>25</v>
      </c>
      <c r="D15" s="37">
        <f t="shared" si="2"/>
        <v>0.520833333333333</v>
      </c>
      <c r="E15" s="36"/>
      <c r="F15" s="36"/>
      <c r="G15" s="36">
        <f>H15-E15</f>
        <v>0</v>
      </c>
      <c r="H15" s="36"/>
      <c r="I15" s="40" t="s">
        <v>582</v>
      </c>
      <c r="J15" s="42">
        <v>957</v>
      </c>
      <c r="K15" s="36">
        <v>1472</v>
      </c>
      <c r="L15" s="37">
        <f t="shared" si="1"/>
        <v>1.53814002089864</v>
      </c>
      <c r="M15" s="42">
        <v>1495</v>
      </c>
      <c r="N15" s="48">
        <v>606</v>
      </c>
      <c r="O15" s="48">
        <f t="shared" si="3"/>
        <v>-75</v>
      </c>
      <c r="P15" s="48">
        <v>1420</v>
      </c>
    </row>
    <row r="16" ht="20" customHeight="1" spans="1:16">
      <c r="A16" s="38" t="s">
        <v>571</v>
      </c>
      <c r="B16" s="36">
        <v>120</v>
      </c>
      <c r="C16" s="36">
        <v>120</v>
      </c>
      <c r="D16" s="37">
        <f t="shared" si="2"/>
        <v>1</v>
      </c>
      <c r="E16" s="36">
        <f>K42</f>
        <v>199</v>
      </c>
      <c r="F16" s="36"/>
      <c r="G16" s="36">
        <f>H16-E16</f>
        <v>-199</v>
      </c>
      <c r="H16" s="36">
        <v>0</v>
      </c>
      <c r="I16" s="40" t="s">
        <v>583</v>
      </c>
      <c r="J16" s="42">
        <v>911</v>
      </c>
      <c r="K16" s="36"/>
      <c r="L16" s="37">
        <f t="shared" si="1"/>
        <v>0</v>
      </c>
      <c r="M16" s="42"/>
      <c r="N16" s="48"/>
      <c r="O16" s="48">
        <f t="shared" si="3"/>
        <v>0</v>
      </c>
      <c r="P16" s="48"/>
    </row>
    <row r="17" ht="20" customHeight="1" spans="1:16">
      <c r="A17" s="35" t="s">
        <v>584</v>
      </c>
      <c r="B17" s="36">
        <f>SUM(B18:B21)</f>
        <v>7699</v>
      </c>
      <c r="C17" s="36">
        <f>SUM(C18:C21)</f>
        <v>6899</v>
      </c>
      <c r="D17" s="37">
        <f t="shared" si="2"/>
        <v>0.896090401350825</v>
      </c>
      <c r="E17" s="36">
        <f>SUM(E18:E21)</f>
        <v>5989</v>
      </c>
      <c r="F17" s="36">
        <f>SUM(F18:F21)</f>
        <v>6922</v>
      </c>
      <c r="G17" s="36">
        <f>SUM(G18:G21)</f>
        <v>933</v>
      </c>
      <c r="H17" s="36">
        <f>SUM(H18:H21)</f>
        <v>6922</v>
      </c>
      <c r="I17" s="40" t="s">
        <v>585</v>
      </c>
      <c r="J17" s="42">
        <v>1416</v>
      </c>
      <c r="K17" s="36">
        <v>1695</v>
      </c>
      <c r="L17" s="37">
        <f t="shared" si="1"/>
        <v>1.19703389830508</v>
      </c>
      <c r="M17" s="42">
        <v>1842</v>
      </c>
      <c r="N17" s="48">
        <v>1817</v>
      </c>
      <c r="O17" s="48">
        <f t="shared" si="3"/>
        <v>127</v>
      </c>
      <c r="P17" s="48">
        <v>1969</v>
      </c>
    </row>
    <row r="18" ht="20" customHeight="1" spans="1:16">
      <c r="A18" s="38" t="s">
        <v>565</v>
      </c>
      <c r="B18" s="36">
        <v>2354</v>
      </c>
      <c r="C18" s="36">
        <v>3518</v>
      </c>
      <c r="D18" s="37">
        <f t="shared" si="2"/>
        <v>1.49447748513169</v>
      </c>
      <c r="E18" s="36">
        <v>3636</v>
      </c>
      <c r="F18" s="36">
        <v>5279</v>
      </c>
      <c r="G18" s="36">
        <f>H18-E18</f>
        <v>1643</v>
      </c>
      <c r="H18" s="36">
        <v>5279</v>
      </c>
      <c r="I18" s="53" t="s">
        <v>586</v>
      </c>
      <c r="J18" s="53"/>
      <c r="K18" s="33">
        <v>1168</v>
      </c>
      <c r="L18" s="40"/>
      <c r="M18" s="31"/>
      <c r="N18" s="48"/>
      <c r="O18" s="48">
        <f t="shared" si="3"/>
        <v>0</v>
      </c>
      <c r="P18" s="48"/>
    </row>
    <row r="19" ht="20" customHeight="1" spans="1:16">
      <c r="A19" s="38" t="s">
        <v>567</v>
      </c>
      <c r="B19" s="36">
        <v>2200</v>
      </c>
      <c r="C19" s="36">
        <f>985+29</f>
        <v>1014</v>
      </c>
      <c r="D19" s="37">
        <f t="shared" si="2"/>
        <v>0.460909090909091</v>
      </c>
      <c r="E19" s="36">
        <f>1010+50</f>
        <v>1060</v>
      </c>
      <c r="F19" s="36">
        <v>1154</v>
      </c>
      <c r="G19" s="36">
        <f>H19-E19</f>
        <v>94</v>
      </c>
      <c r="H19" s="36">
        <v>1154</v>
      </c>
      <c r="I19" s="35" t="s">
        <v>587</v>
      </c>
      <c r="J19" s="36">
        <f>SUM(J20:J23)</f>
        <v>7922</v>
      </c>
      <c r="K19" s="36">
        <f>SUM(K20:K23)</f>
        <v>7787</v>
      </c>
      <c r="L19" s="37">
        <f>K19/J19</f>
        <v>0.982958848775562</v>
      </c>
      <c r="M19" s="36">
        <f>SUM(M20:M23)</f>
        <v>8328</v>
      </c>
      <c r="N19" s="36">
        <f>SUM(N20:N23)</f>
        <v>7365</v>
      </c>
      <c r="O19" s="36">
        <f>SUM(O20:O23)</f>
        <v>-49</v>
      </c>
      <c r="P19" s="36">
        <f>SUM(P20:P23)</f>
        <v>8279</v>
      </c>
    </row>
    <row r="20" ht="20" customHeight="1" spans="1:16">
      <c r="A20" s="38" t="s">
        <v>569</v>
      </c>
      <c r="B20" s="36"/>
      <c r="C20" s="36"/>
      <c r="D20" s="37"/>
      <c r="E20" s="36"/>
      <c r="F20" s="36"/>
      <c r="G20" s="36">
        <f>H20-E20</f>
        <v>0</v>
      </c>
      <c r="H20" s="36"/>
      <c r="I20" s="40" t="s">
        <v>588</v>
      </c>
      <c r="J20" s="42">
        <v>7309</v>
      </c>
      <c r="K20" s="36">
        <v>7195</v>
      </c>
      <c r="L20" s="37">
        <f>K20/J20</f>
        <v>0.984402791079491</v>
      </c>
      <c r="M20" s="42">
        <v>7655</v>
      </c>
      <c r="N20" s="48">
        <v>6836</v>
      </c>
      <c r="O20" s="48">
        <f>P20-M20</f>
        <v>52</v>
      </c>
      <c r="P20" s="48">
        <v>7707</v>
      </c>
    </row>
    <row r="21" ht="20" customHeight="1" spans="1:16">
      <c r="A21" s="38" t="s">
        <v>571</v>
      </c>
      <c r="B21" s="36">
        <v>3145</v>
      </c>
      <c r="C21" s="36">
        <v>2367</v>
      </c>
      <c r="D21" s="37">
        <f t="shared" si="2"/>
        <v>0.752623211446741</v>
      </c>
      <c r="E21" s="36">
        <f>K43</f>
        <v>1293</v>
      </c>
      <c r="F21" s="36">
        <v>489</v>
      </c>
      <c r="G21" s="36">
        <f>H21-E21</f>
        <v>-804</v>
      </c>
      <c r="H21" s="36">
        <v>489</v>
      </c>
      <c r="I21" s="40" t="s">
        <v>589</v>
      </c>
      <c r="J21" s="42">
        <v>437</v>
      </c>
      <c r="K21" s="36">
        <v>426</v>
      </c>
      <c r="L21" s="37">
        <f>K21/J21</f>
        <v>0.974828375286041</v>
      </c>
      <c r="M21" s="42">
        <v>489</v>
      </c>
      <c r="N21" s="48">
        <v>379</v>
      </c>
      <c r="O21" s="48">
        <f>P21-M21</f>
        <v>-78</v>
      </c>
      <c r="P21" s="48">
        <v>411</v>
      </c>
    </row>
    <row r="22" ht="20" customHeight="1" spans="1:16">
      <c r="A22" s="35" t="s">
        <v>590</v>
      </c>
      <c r="B22" s="36">
        <f>SUM(B23:B26)</f>
        <v>24516</v>
      </c>
      <c r="C22" s="36">
        <f>SUM(C23:C27)</f>
        <v>26544</v>
      </c>
      <c r="D22" s="37">
        <f t="shared" si="2"/>
        <v>1.08272148800783</v>
      </c>
      <c r="E22" s="36">
        <f>SUM(E23:E26)</f>
        <v>23778</v>
      </c>
      <c r="F22" s="36">
        <f>SUM(F23:F26)</f>
        <v>23147</v>
      </c>
      <c r="G22" s="36">
        <f>SUM(G23:G26)</f>
        <v>-631</v>
      </c>
      <c r="H22" s="36">
        <f>SUM(H23:H26)</f>
        <v>23147</v>
      </c>
      <c r="I22" s="40" t="s">
        <v>591</v>
      </c>
      <c r="J22" s="42">
        <v>172</v>
      </c>
      <c r="K22" s="36">
        <v>151</v>
      </c>
      <c r="L22" s="37">
        <f>K22/J22</f>
        <v>0.877906976744186</v>
      </c>
      <c r="M22" s="42">
        <v>175</v>
      </c>
      <c r="N22" s="48">
        <v>140</v>
      </c>
      <c r="O22" s="48">
        <f>P22-M22</f>
        <v>-25</v>
      </c>
      <c r="P22" s="48">
        <v>150</v>
      </c>
    </row>
    <row r="23" ht="20" customHeight="1" spans="1:16">
      <c r="A23" s="38" t="s">
        <v>565</v>
      </c>
      <c r="B23" s="42">
        <v>85</v>
      </c>
      <c r="C23" s="42">
        <v>85</v>
      </c>
      <c r="D23" s="37">
        <f t="shared" si="2"/>
        <v>1</v>
      </c>
      <c r="E23" s="42">
        <v>92</v>
      </c>
      <c r="F23" s="42">
        <v>1499</v>
      </c>
      <c r="G23" s="42">
        <f>H23-E23</f>
        <v>1407</v>
      </c>
      <c r="H23" s="42">
        <v>1499</v>
      </c>
      <c r="I23" s="52" t="s">
        <v>592</v>
      </c>
      <c r="J23" s="50">
        <v>4</v>
      </c>
      <c r="K23" s="36">
        <v>15</v>
      </c>
      <c r="L23" s="37">
        <f>K23/J23</f>
        <v>3.75</v>
      </c>
      <c r="M23" s="50">
        <v>9</v>
      </c>
      <c r="N23" s="48">
        <v>10</v>
      </c>
      <c r="O23" s="48">
        <f>P23-M23</f>
        <v>2</v>
      </c>
      <c r="P23" s="48">
        <v>11</v>
      </c>
    </row>
    <row r="24" ht="20" customHeight="1" spans="1:16">
      <c r="A24" s="38" t="s">
        <v>567</v>
      </c>
      <c r="B24" s="42">
        <v>6232</v>
      </c>
      <c r="C24" s="42">
        <v>6240</v>
      </c>
      <c r="D24" s="37">
        <f t="shared" si="2"/>
        <v>1.0012836970475</v>
      </c>
      <c r="E24" s="42">
        <v>7675</v>
      </c>
      <c r="F24" s="42">
        <v>7571</v>
      </c>
      <c r="G24" s="42">
        <f>H24-E24</f>
        <v>-104</v>
      </c>
      <c r="H24" s="42">
        <v>7571</v>
      </c>
      <c r="I24" s="54" t="s">
        <v>593</v>
      </c>
      <c r="J24" s="55"/>
      <c r="K24" s="55"/>
      <c r="L24" s="37"/>
      <c r="M24" s="50">
        <f>M25</f>
        <v>20628</v>
      </c>
      <c r="N24" s="50">
        <f>N25</f>
        <v>17510</v>
      </c>
      <c r="O24" s="50">
        <f>O25</f>
        <v>-677</v>
      </c>
      <c r="P24" s="50">
        <f>P25</f>
        <v>19951</v>
      </c>
    </row>
    <row r="25" ht="20" customHeight="1" spans="1:16">
      <c r="A25" s="40" t="s">
        <v>569</v>
      </c>
      <c r="B25" s="42">
        <v>14929</v>
      </c>
      <c r="C25" s="43">
        <v>14438</v>
      </c>
      <c r="D25" s="37">
        <f t="shared" si="2"/>
        <v>0.967110992028937</v>
      </c>
      <c r="E25" s="43">
        <v>16793</v>
      </c>
      <c r="F25" s="43">
        <v>15216</v>
      </c>
      <c r="G25" s="42">
        <f>H25-E25</f>
        <v>-1577</v>
      </c>
      <c r="H25" s="43">
        <v>15216</v>
      </c>
      <c r="I25" s="52" t="s">
        <v>588</v>
      </c>
      <c r="J25" s="55"/>
      <c r="K25" s="55"/>
      <c r="L25" s="37"/>
      <c r="M25" s="50">
        <v>20628</v>
      </c>
      <c r="N25" s="48">
        <v>17510</v>
      </c>
      <c r="O25" s="48">
        <f>P25-M25</f>
        <v>-677</v>
      </c>
      <c r="P25" s="48">
        <v>19951</v>
      </c>
    </row>
    <row r="26" ht="20" customHeight="1" spans="1:16">
      <c r="A26" s="38" t="s">
        <v>571</v>
      </c>
      <c r="B26" s="42">
        <v>3270</v>
      </c>
      <c r="C26" s="43">
        <v>3459</v>
      </c>
      <c r="D26" s="37">
        <f t="shared" si="2"/>
        <v>1.05779816513761</v>
      </c>
      <c r="E26" s="43">
        <f>K44</f>
        <v>-782</v>
      </c>
      <c r="F26" s="43">
        <v>-1139</v>
      </c>
      <c r="G26" s="42">
        <f>H26-E26</f>
        <v>-357</v>
      </c>
      <c r="H26" s="43">
        <v>-1139</v>
      </c>
      <c r="I26" s="52"/>
      <c r="J26" s="55"/>
      <c r="K26" s="55"/>
      <c r="L26" s="37"/>
      <c r="M26" s="50"/>
      <c r="N26" s="48"/>
      <c r="O26" s="48"/>
      <c r="P26" s="48"/>
    </row>
    <row r="27" ht="20" customHeight="1" spans="1:16">
      <c r="A27" s="38" t="s">
        <v>594</v>
      </c>
      <c r="B27" s="42"/>
      <c r="C27" s="43">
        <v>2322</v>
      </c>
      <c r="D27" s="37"/>
      <c r="E27" s="43"/>
      <c r="F27" s="43"/>
      <c r="G27" s="42">
        <f>H27-E27</f>
        <v>0</v>
      </c>
      <c r="H27" s="43"/>
      <c r="I27" s="52"/>
      <c r="J27" s="55"/>
      <c r="K27" s="55"/>
      <c r="L27" s="37"/>
      <c r="M27" s="50"/>
      <c r="N27" s="48"/>
      <c r="O27" s="48"/>
      <c r="P27" s="48"/>
    </row>
    <row r="28" ht="20" customHeight="1" spans="1:16">
      <c r="A28" s="35" t="s">
        <v>595</v>
      </c>
      <c r="B28" s="36">
        <f>SUM(B29:B32)</f>
        <v>27470</v>
      </c>
      <c r="C28" s="36">
        <f>SUM(C29:C32)</f>
        <v>27444</v>
      </c>
      <c r="D28" s="37">
        <f>C28/B28</f>
        <v>0.999053512923189</v>
      </c>
      <c r="E28" s="36">
        <f>SUM(E29:E32)</f>
        <v>32698</v>
      </c>
      <c r="F28" s="36">
        <f>SUM(F29:F32)</f>
        <v>32186</v>
      </c>
      <c r="G28" s="36">
        <f>SUM(G29:G32)</f>
        <v>-223</v>
      </c>
      <c r="H28" s="36">
        <f>SUM(H29:H32)</f>
        <v>32475</v>
      </c>
      <c r="I28" s="56"/>
      <c r="J28" s="55"/>
      <c r="K28" s="55"/>
      <c r="L28" s="37"/>
      <c r="M28" s="50"/>
      <c r="N28" s="48"/>
      <c r="O28" s="48"/>
      <c r="P28" s="48"/>
    </row>
    <row r="29" ht="20" customHeight="1" spans="1:16">
      <c r="A29" s="38" t="s">
        <v>565</v>
      </c>
      <c r="B29" s="39">
        <v>1326</v>
      </c>
      <c r="C29" s="44">
        <v>1273</v>
      </c>
      <c r="D29" s="37">
        <f>C29/B29</f>
        <v>0.960030165912519</v>
      </c>
      <c r="E29" s="44">
        <v>1569</v>
      </c>
      <c r="F29" s="44">
        <v>1521</v>
      </c>
      <c r="G29" s="44">
        <f>H29-E29</f>
        <v>-48</v>
      </c>
      <c r="H29" s="44">
        <v>1521</v>
      </c>
      <c r="I29" s="56"/>
      <c r="J29" s="55"/>
      <c r="K29" s="55"/>
      <c r="L29" s="37"/>
      <c r="M29" s="50"/>
      <c r="N29" s="48"/>
      <c r="O29" s="48"/>
      <c r="P29" s="48"/>
    </row>
    <row r="30" ht="20" customHeight="1" spans="1:16">
      <c r="A30" s="38" t="s">
        <v>567</v>
      </c>
      <c r="B30" s="42">
        <v>2917</v>
      </c>
      <c r="C30" s="43">
        <v>2980</v>
      </c>
      <c r="D30" s="37">
        <f>C30/B30</f>
        <v>1.02159753171066</v>
      </c>
      <c r="E30" s="43">
        <v>4391</v>
      </c>
      <c r="F30" s="43">
        <v>3496</v>
      </c>
      <c r="G30" s="44">
        <f>H30-E30</f>
        <v>-690</v>
      </c>
      <c r="H30" s="43">
        <v>3701</v>
      </c>
      <c r="I30" s="57"/>
      <c r="J30" s="42"/>
      <c r="K30" s="42"/>
      <c r="L30" s="37"/>
      <c r="M30" s="42"/>
      <c r="N30" s="48"/>
      <c r="O30" s="48"/>
      <c r="P30" s="48"/>
    </row>
    <row r="31" ht="20" customHeight="1" spans="1:16">
      <c r="A31" s="40" t="s">
        <v>569</v>
      </c>
      <c r="B31" s="42">
        <v>6632</v>
      </c>
      <c r="C31" s="43">
        <v>6546</v>
      </c>
      <c r="D31" s="37">
        <f>C31/B31</f>
        <v>0.987032569360676</v>
      </c>
      <c r="E31" s="43">
        <v>7081</v>
      </c>
      <c r="F31" s="43">
        <v>7146</v>
      </c>
      <c r="G31" s="44">
        <f>H31-E31</f>
        <v>149</v>
      </c>
      <c r="H31" s="43">
        <v>7230</v>
      </c>
      <c r="I31" s="57"/>
      <c r="J31" s="42"/>
      <c r="K31" s="42"/>
      <c r="L31" s="37"/>
      <c r="M31" s="42"/>
      <c r="N31" s="48"/>
      <c r="O31" s="48"/>
      <c r="P31" s="48"/>
    </row>
    <row r="32" ht="20" customHeight="1" spans="1:16">
      <c r="A32" s="38" t="s">
        <v>571</v>
      </c>
      <c r="B32" s="42">
        <v>16595</v>
      </c>
      <c r="C32" s="43">
        <v>16645</v>
      </c>
      <c r="D32" s="37">
        <f>C32/B32</f>
        <v>1.00301295570955</v>
      </c>
      <c r="E32" s="43">
        <f>K45</f>
        <v>19657</v>
      </c>
      <c r="F32" s="43">
        <v>20023</v>
      </c>
      <c r="G32" s="44">
        <f>H32-E32</f>
        <v>366</v>
      </c>
      <c r="H32" s="43">
        <v>20023</v>
      </c>
      <c r="I32" s="57"/>
      <c r="J32" s="42"/>
      <c r="K32" s="42"/>
      <c r="L32" s="37"/>
      <c r="M32" s="42"/>
      <c r="N32" s="48"/>
      <c r="O32" s="48"/>
      <c r="P32" s="48"/>
    </row>
    <row r="33" ht="20" customHeight="1" spans="1:16">
      <c r="A33" s="35" t="s">
        <v>596</v>
      </c>
      <c r="B33" s="42"/>
      <c r="C33" s="43"/>
      <c r="D33" s="37"/>
      <c r="E33" s="43">
        <f>SUM(E34:E37)</f>
        <v>20724</v>
      </c>
      <c r="F33" s="43">
        <f>SUM(F34:F37)</f>
        <v>18324</v>
      </c>
      <c r="G33" s="43">
        <f>SUM(G34:G37)</f>
        <v>-20</v>
      </c>
      <c r="H33" s="43">
        <f>SUM(H34:H37)</f>
        <v>20704</v>
      </c>
      <c r="I33" s="57"/>
      <c r="J33" s="42"/>
      <c r="K33" s="42"/>
      <c r="L33" s="37"/>
      <c r="M33" s="42"/>
      <c r="N33" s="48"/>
      <c r="O33" s="48"/>
      <c r="P33" s="48"/>
    </row>
    <row r="34" ht="20" customHeight="1" spans="1:16">
      <c r="A34" s="38" t="s">
        <v>565</v>
      </c>
      <c r="B34" s="42"/>
      <c r="C34" s="43"/>
      <c r="D34" s="37"/>
      <c r="E34" s="43">
        <v>7094</v>
      </c>
      <c r="F34" s="43">
        <v>5847</v>
      </c>
      <c r="G34" s="43">
        <f>H34-E34</f>
        <v>-134</v>
      </c>
      <c r="H34" s="43">
        <v>6960</v>
      </c>
      <c r="I34" s="57"/>
      <c r="J34" s="42"/>
      <c r="K34" s="42"/>
      <c r="L34" s="37"/>
      <c r="M34" s="42"/>
      <c r="N34" s="48"/>
      <c r="O34" s="48"/>
      <c r="P34" s="48"/>
    </row>
    <row r="35" ht="20" customHeight="1" spans="1:16">
      <c r="A35" s="38" t="s">
        <v>567</v>
      </c>
      <c r="B35" s="42"/>
      <c r="C35" s="43"/>
      <c r="D35" s="37"/>
      <c r="E35" s="43">
        <f>4047+683</f>
        <v>4730</v>
      </c>
      <c r="F35" s="43">
        <v>4052</v>
      </c>
      <c r="G35" s="43">
        <f>H35-E35</f>
        <v>-711</v>
      </c>
      <c r="H35" s="43">
        <v>4019</v>
      </c>
      <c r="I35" s="57"/>
      <c r="J35" s="42"/>
      <c r="K35" s="42"/>
      <c r="L35" s="37"/>
      <c r="M35" s="42"/>
      <c r="N35" s="48"/>
      <c r="O35" s="48"/>
      <c r="P35" s="48"/>
    </row>
    <row r="36" ht="20" customHeight="1" spans="1:16">
      <c r="A36" s="38" t="s">
        <v>597</v>
      </c>
      <c r="B36" s="42"/>
      <c r="C36" s="43"/>
      <c r="D36" s="37"/>
      <c r="E36" s="43">
        <v>8900</v>
      </c>
      <c r="F36" s="43">
        <v>7900</v>
      </c>
      <c r="G36" s="43">
        <f>H36-E36</f>
        <v>300</v>
      </c>
      <c r="H36" s="43">
        <v>9200</v>
      </c>
      <c r="I36" s="57"/>
      <c r="J36" s="42"/>
      <c r="K36" s="42"/>
      <c r="L36" s="37"/>
      <c r="M36" s="42"/>
      <c r="N36" s="48"/>
      <c r="O36" s="48"/>
      <c r="P36" s="48"/>
    </row>
    <row r="37" ht="20" customHeight="1" spans="1:16">
      <c r="A37" s="38" t="s">
        <v>571</v>
      </c>
      <c r="B37" s="42"/>
      <c r="C37" s="43"/>
      <c r="D37" s="37"/>
      <c r="E37" s="43"/>
      <c r="F37" s="43">
        <v>525</v>
      </c>
      <c r="G37" s="43">
        <f>H37-E37</f>
        <v>525</v>
      </c>
      <c r="H37" s="43">
        <v>525</v>
      </c>
      <c r="I37" s="57"/>
      <c r="J37" s="42"/>
      <c r="K37" s="42"/>
      <c r="L37" s="37"/>
      <c r="M37" s="42"/>
      <c r="N37" s="48"/>
      <c r="O37" s="48"/>
      <c r="P37" s="48"/>
    </row>
    <row r="38" ht="20" customHeight="1" spans="1:16">
      <c r="A38" s="31" t="s">
        <v>206</v>
      </c>
      <c r="B38" s="42">
        <f>B4+B9+B13+B17+B22+B28+B33</f>
        <v>60312</v>
      </c>
      <c r="C38" s="42">
        <f>C4+C9+C13+C17+C22+C28+C33</f>
        <v>61623</v>
      </c>
      <c r="D38" s="37">
        <f>C38/B38</f>
        <v>1.02173696776761</v>
      </c>
      <c r="E38" s="42">
        <f>E4+E9+E13+E17+E22+E28+E33</f>
        <v>84242</v>
      </c>
      <c r="F38" s="42">
        <f>F4+F9+F13+F17+F22+F28+F33</f>
        <v>81911</v>
      </c>
      <c r="G38" s="42">
        <f>G4+G9+G13+G17+G22+G28+G33</f>
        <v>365</v>
      </c>
      <c r="H38" s="42">
        <f>H4+H9+H13+H17+H22+H28+H33</f>
        <v>84607</v>
      </c>
      <c r="I38" s="58" t="s">
        <v>207</v>
      </c>
      <c r="J38" s="42">
        <f>J4+J7+J9+J11+J12+J19+J24</f>
        <v>34135</v>
      </c>
      <c r="K38" s="42">
        <f>K4+K7+K9+K11+K12+K19+K24</f>
        <v>41181.62</v>
      </c>
      <c r="L38" s="37">
        <f t="shared" ref="L38:L46" si="4">K38/J38</f>
        <v>1.20643386553391</v>
      </c>
      <c r="M38" s="42">
        <f>M4+M7+M9+M11+M12+M19+M24</f>
        <v>60052</v>
      </c>
      <c r="N38" s="42">
        <f>N4+N7+N9+N11+N12+N19+N24</f>
        <v>48906</v>
      </c>
      <c r="O38" s="42">
        <f>O4+O7+O9+O11+O12+O19+O24</f>
        <v>-3525</v>
      </c>
      <c r="P38" s="42">
        <f>P4+P7+P9+P11+P12+P19+P24</f>
        <v>56527</v>
      </c>
    </row>
    <row r="39" ht="20" customHeight="1" spans="1:16">
      <c r="A39" s="38"/>
      <c r="B39" s="36"/>
      <c r="C39" s="36"/>
      <c r="D39" s="37"/>
      <c r="E39" s="36"/>
      <c r="F39" s="36"/>
      <c r="G39" s="36"/>
      <c r="H39" s="36"/>
      <c r="I39" s="59" t="s">
        <v>598</v>
      </c>
      <c r="J39" s="42">
        <f>SUM(J40:J45)</f>
        <v>26177</v>
      </c>
      <c r="K39" s="42">
        <f>SUM(K40:K45)</f>
        <v>20441.38</v>
      </c>
      <c r="L39" s="37">
        <f t="shared" si="4"/>
        <v>0.780890858387134</v>
      </c>
      <c r="M39" s="42">
        <f>SUM(M40:M46)</f>
        <v>24190</v>
      </c>
      <c r="N39" s="42">
        <f>SUM(N40:N46)</f>
        <v>33005</v>
      </c>
      <c r="O39" s="42">
        <f>SUM(O40:O46)</f>
        <v>3890</v>
      </c>
      <c r="P39" s="42">
        <f>SUM(P40:P46)</f>
        <v>28080</v>
      </c>
    </row>
    <row r="40" ht="20" customHeight="1" spans="1:16">
      <c r="A40" s="38"/>
      <c r="B40" s="36"/>
      <c r="C40" s="36"/>
      <c r="D40" s="37"/>
      <c r="E40" s="36"/>
      <c r="F40" s="36"/>
      <c r="G40" s="36"/>
      <c r="H40" s="36"/>
      <c r="I40" s="57" t="s">
        <v>599</v>
      </c>
      <c r="J40" s="36">
        <f>B4-J4</f>
        <v>0</v>
      </c>
      <c r="K40" s="36">
        <f>C4-K4</f>
        <v>10</v>
      </c>
      <c r="L40" s="37"/>
      <c r="M40" s="36">
        <f>E4-M4</f>
        <v>56</v>
      </c>
      <c r="N40" s="48">
        <f>F4-N4</f>
        <v>59</v>
      </c>
      <c r="O40" s="48">
        <f>P40-M40</f>
        <v>-21</v>
      </c>
      <c r="P40" s="48">
        <f>H4-P4</f>
        <v>35</v>
      </c>
    </row>
    <row r="41" ht="20" customHeight="1" spans="1:16">
      <c r="A41" s="40"/>
      <c r="B41" s="42"/>
      <c r="C41" s="42"/>
      <c r="D41" s="37"/>
      <c r="E41" s="42"/>
      <c r="F41" s="42"/>
      <c r="G41" s="42"/>
      <c r="H41" s="36"/>
      <c r="I41" s="57" t="s">
        <v>600</v>
      </c>
      <c r="J41" s="36">
        <f>B9-J7</f>
        <v>4</v>
      </c>
      <c r="K41" s="36">
        <f>C9-K7</f>
        <v>64.38</v>
      </c>
      <c r="L41" s="37">
        <f t="shared" si="4"/>
        <v>16.095</v>
      </c>
      <c r="M41" s="36">
        <f>E9-M7</f>
        <v>119</v>
      </c>
      <c r="N41" s="36">
        <f>F9-N7</f>
        <v>90</v>
      </c>
      <c r="O41" s="48">
        <f t="shared" ref="O41:O46" si="5">P41-M41</f>
        <v>-118</v>
      </c>
      <c r="P41" s="48">
        <f>H9-P7</f>
        <v>1</v>
      </c>
    </row>
    <row r="42" ht="20" customHeight="1" spans="1:16">
      <c r="A42" s="38"/>
      <c r="B42" s="36"/>
      <c r="C42" s="36"/>
      <c r="D42" s="37"/>
      <c r="E42" s="36"/>
      <c r="F42" s="36"/>
      <c r="G42" s="36"/>
      <c r="H42" s="36"/>
      <c r="I42" s="57" t="s">
        <v>601</v>
      </c>
      <c r="J42" s="36">
        <f>B13-J9</f>
        <v>136</v>
      </c>
      <c r="K42" s="36">
        <f>C13-K9</f>
        <v>199</v>
      </c>
      <c r="L42" s="37">
        <f t="shared" si="4"/>
        <v>1.46323529411765</v>
      </c>
      <c r="M42" s="36">
        <f>E13-M9</f>
        <v>199</v>
      </c>
      <c r="N42" s="36">
        <f>F13-N9</f>
        <v>0</v>
      </c>
      <c r="O42" s="48">
        <f t="shared" si="5"/>
        <v>-199</v>
      </c>
      <c r="P42" s="48">
        <f>H13-P9</f>
        <v>0</v>
      </c>
    </row>
    <row r="43" ht="20" customHeight="1" spans="1:16">
      <c r="A43" s="38"/>
      <c r="B43" s="42"/>
      <c r="C43" s="43"/>
      <c r="D43" s="43"/>
      <c r="E43" s="43"/>
      <c r="F43" s="43"/>
      <c r="G43" s="43"/>
      <c r="H43" s="36"/>
      <c r="I43" s="57" t="s">
        <v>602</v>
      </c>
      <c r="J43" s="36">
        <f>B17-J11</f>
        <v>3899</v>
      </c>
      <c r="K43" s="36">
        <f>C17-K11</f>
        <v>1293</v>
      </c>
      <c r="L43" s="37">
        <f t="shared" si="4"/>
        <v>0.331623493203385</v>
      </c>
      <c r="M43" s="36">
        <f>E17-M11</f>
        <v>489</v>
      </c>
      <c r="N43" s="36">
        <f>F17-N11</f>
        <v>2472</v>
      </c>
      <c r="O43" s="48">
        <f t="shared" si="5"/>
        <v>1833</v>
      </c>
      <c r="P43" s="48">
        <f>H17-P11</f>
        <v>2322</v>
      </c>
    </row>
    <row r="44" ht="20" customHeight="1" spans="1:16">
      <c r="A44" s="38"/>
      <c r="B44" s="42"/>
      <c r="C44" s="43"/>
      <c r="D44" s="43"/>
      <c r="E44" s="43"/>
      <c r="F44" s="43"/>
      <c r="G44" s="43"/>
      <c r="H44" s="36"/>
      <c r="I44" s="60" t="s">
        <v>603</v>
      </c>
      <c r="J44" s="42">
        <f>B22-J12</f>
        <v>2590</v>
      </c>
      <c r="K44" s="42">
        <f>C22-K12</f>
        <v>-782</v>
      </c>
      <c r="L44" s="37">
        <f t="shared" si="4"/>
        <v>-0.301930501930502</v>
      </c>
      <c r="M44" s="42">
        <f>E22-M12</f>
        <v>-1139</v>
      </c>
      <c r="N44" s="42">
        <f>F22-N12</f>
        <v>4749</v>
      </c>
      <c r="O44" s="48">
        <f t="shared" si="5"/>
        <v>1912</v>
      </c>
      <c r="P44" s="48">
        <f>H22-P12</f>
        <v>773</v>
      </c>
    </row>
    <row r="45" ht="20" customHeight="1" spans="1:16">
      <c r="A45" s="38"/>
      <c r="B45" s="42"/>
      <c r="C45" s="43"/>
      <c r="D45" s="43"/>
      <c r="E45" s="43"/>
      <c r="F45" s="43"/>
      <c r="G45" s="43"/>
      <c r="H45" s="43"/>
      <c r="I45" s="60" t="s">
        <v>604</v>
      </c>
      <c r="J45" s="42">
        <f>B28-J19</f>
        <v>19548</v>
      </c>
      <c r="K45" s="42">
        <f>C28-K19</f>
        <v>19657</v>
      </c>
      <c r="L45" s="37">
        <f t="shared" si="4"/>
        <v>1.00557601800696</v>
      </c>
      <c r="M45" s="42">
        <f>E28-M19</f>
        <v>24370</v>
      </c>
      <c r="N45" s="42">
        <f>F28-N19</f>
        <v>24821</v>
      </c>
      <c r="O45" s="48">
        <f t="shared" si="5"/>
        <v>-174</v>
      </c>
      <c r="P45" s="48">
        <f>H28-P19</f>
        <v>24196</v>
      </c>
    </row>
    <row r="46" ht="20" customHeight="1" spans="1:16">
      <c r="A46" s="38"/>
      <c r="B46" s="42"/>
      <c r="C46" s="43"/>
      <c r="D46" s="43"/>
      <c r="E46" s="43"/>
      <c r="F46" s="43"/>
      <c r="G46" s="43"/>
      <c r="H46" s="43"/>
      <c r="I46" s="60" t="s">
        <v>605</v>
      </c>
      <c r="J46" s="42"/>
      <c r="K46" s="42"/>
      <c r="L46" s="37"/>
      <c r="M46" s="42">
        <f>E33-M24</f>
        <v>96</v>
      </c>
      <c r="N46" s="42">
        <f>F33-N24</f>
        <v>814</v>
      </c>
      <c r="O46" s="48">
        <f t="shared" si="5"/>
        <v>657</v>
      </c>
      <c r="P46" s="48">
        <f>H33-P24</f>
        <v>753</v>
      </c>
    </row>
    <row r="47" ht="20" customHeight="1" spans="1:16">
      <c r="A47" s="31" t="s">
        <v>533</v>
      </c>
      <c r="B47" s="42">
        <f t="shared" ref="B47:H47" si="6">B38</f>
        <v>60312</v>
      </c>
      <c r="C47" s="42">
        <f t="shared" si="6"/>
        <v>61623</v>
      </c>
      <c r="D47" s="45">
        <f t="shared" si="6"/>
        <v>1.02173696776761</v>
      </c>
      <c r="E47" s="42">
        <f t="shared" si="6"/>
        <v>84242</v>
      </c>
      <c r="F47" s="42">
        <f t="shared" si="6"/>
        <v>81911</v>
      </c>
      <c r="G47" s="42">
        <f t="shared" si="6"/>
        <v>365</v>
      </c>
      <c r="H47" s="42">
        <f t="shared" si="6"/>
        <v>84607</v>
      </c>
      <c r="I47" s="58" t="s">
        <v>534</v>
      </c>
      <c r="J47" s="42">
        <f>B47</f>
        <v>60312</v>
      </c>
      <c r="K47" s="42">
        <f>C47</f>
        <v>61623</v>
      </c>
      <c r="L47" s="37">
        <f>K47/J47</f>
        <v>1.02173696776761</v>
      </c>
      <c r="M47" s="42">
        <f>E47</f>
        <v>84242</v>
      </c>
      <c r="N47" s="42">
        <f>F47</f>
        <v>81911</v>
      </c>
      <c r="O47" s="42">
        <f>G47</f>
        <v>365</v>
      </c>
      <c r="P47" s="42">
        <f>H47</f>
        <v>84607</v>
      </c>
    </row>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7" customHeight="1"/>
  </sheetData>
  <mergeCells count="3">
    <mergeCell ref="A1:P1"/>
    <mergeCell ref="J2:M2"/>
    <mergeCell ref="N2:P2"/>
  </mergeCells>
  <printOptions horizontalCentered="1"/>
  <pageMargins left="0.389583333333333" right="0.389583333333333" top="0.786805555555556" bottom="0.393055555555556" header="0.118055555555556" footer="0.306944444444444"/>
  <pageSetup paperSize="9" scale="80" orientation="landscape" horizontalDpi="600" vertic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21"/>
  <sheetViews>
    <sheetView showZeros="0" workbookViewId="0">
      <selection activeCell="C12" sqref="C12"/>
    </sheetView>
  </sheetViews>
  <sheetFormatPr defaultColWidth="9" defaultRowHeight="13.5"/>
  <cols>
    <col min="1" max="1" width="26.875" customWidth="1"/>
    <col min="2" max="5" width="10.5" customWidth="1"/>
    <col min="6" max="6" width="40.625" customWidth="1"/>
    <col min="7" max="10" width="9.625" customWidth="1"/>
  </cols>
  <sheetData>
    <row r="1" ht="31" customHeight="1" spans="1:10">
      <c r="A1" s="19" t="s">
        <v>606</v>
      </c>
      <c r="B1" s="19"/>
      <c r="C1" s="19"/>
      <c r="D1" s="19"/>
      <c r="E1" s="19"/>
      <c r="F1" s="19"/>
      <c r="G1" s="19"/>
      <c r="H1" s="19"/>
      <c r="I1" s="19"/>
      <c r="J1" s="19"/>
    </row>
    <row r="2" ht="20" customHeight="1" spans="1:10">
      <c r="A2" t="s">
        <v>607</v>
      </c>
      <c r="G2" s="2"/>
      <c r="H2" s="2" t="s">
        <v>27</v>
      </c>
      <c r="I2" s="2"/>
      <c r="J2" s="2"/>
    </row>
    <row r="3" ht="35" customHeight="1" spans="1:10">
      <c r="A3" s="3" t="s">
        <v>608</v>
      </c>
      <c r="B3" s="20" t="s">
        <v>609</v>
      </c>
      <c r="C3" s="20" t="s">
        <v>610</v>
      </c>
      <c r="D3" s="20" t="s">
        <v>35</v>
      </c>
      <c r="E3" s="20" t="s">
        <v>365</v>
      </c>
      <c r="F3" s="20" t="s">
        <v>608</v>
      </c>
      <c r="G3" s="20" t="s">
        <v>609</v>
      </c>
      <c r="H3" s="20" t="s">
        <v>611</v>
      </c>
      <c r="I3" s="20" t="s">
        <v>35</v>
      </c>
      <c r="J3" s="20" t="s">
        <v>36</v>
      </c>
    </row>
    <row r="4" ht="20" customHeight="1" spans="1:10">
      <c r="A4" s="8" t="s">
        <v>612</v>
      </c>
      <c r="B4" s="3">
        <f>B6</f>
        <v>150</v>
      </c>
      <c r="C4" s="3">
        <v>208</v>
      </c>
      <c r="D4" s="3">
        <v>58</v>
      </c>
      <c r="E4" s="3">
        <v>208</v>
      </c>
      <c r="F4" s="8" t="s">
        <v>613</v>
      </c>
      <c r="G4" s="3">
        <f>G13</f>
        <v>150</v>
      </c>
      <c r="H4" s="3"/>
      <c r="I4" s="3"/>
      <c r="J4" s="3"/>
    </row>
    <row r="5" ht="20" customHeight="1" spans="1:10">
      <c r="A5" s="5" t="s">
        <v>614</v>
      </c>
      <c r="B5" s="3"/>
      <c r="C5" s="3"/>
      <c r="D5" s="3"/>
      <c r="E5" s="3"/>
      <c r="F5" s="5" t="s">
        <v>615</v>
      </c>
      <c r="G5" s="3">
        <v>0</v>
      </c>
      <c r="H5" s="3"/>
      <c r="I5" s="3"/>
      <c r="J5" s="3"/>
    </row>
    <row r="6" ht="20" customHeight="1" spans="1:10">
      <c r="A6" s="5" t="s">
        <v>616</v>
      </c>
      <c r="B6" s="3">
        <v>150</v>
      </c>
      <c r="C6" s="3">
        <v>208</v>
      </c>
      <c r="D6" s="3">
        <v>58</v>
      </c>
      <c r="E6" s="3">
        <f>B6+D6</f>
        <v>208</v>
      </c>
      <c r="F6" s="5" t="s">
        <v>617</v>
      </c>
      <c r="G6" s="3"/>
      <c r="H6" s="3"/>
      <c r="I6" s="3"/>
      <c r="J6" s="3"/>
    </row>
    <row r="7" ht="20" customHeight="1" spans="1:10">
      <c r="A7" s="5" t="s">
        <v>618</v>
      </c>
      <c r="B7" s="3"/>
      <c r="C7" s="3"/>
      <c r="D7" s="3"/>
      <c r="E7" s="3"/>
      <c r="F7" s="5" t="s">
        <v>619</v>
      </c>
      <c r="G7" s="3"/>
      <c r="H7" s="3"/>
      <c r="I7" s="3"/>
      <c r="J7" s="3"/>
    </row>
    <row r="8" ht="20" customHeight="1" spans="1:10">
      <c r="A8" s="5"/>
      <c r="B8" s="3"/>
      <c r="C8" s="3"/>
      <c r="D8" s="3"/>
      <c r="E8" s="3"/>
      <c r="F8" s="5" t="s">
        <v>620</v>
      </c>
      <c r="G8" s="3"/>
      <c r="H8" s="3"/>
      <c r="I8" s="3"/>
      <c r="J8" s="3"/>
    </row>
    <row r="9" ht="20" customHeight="1" spans="1:10">
      <c r="A9" s="5"/>
      <c r="B9" s="3"/>
      <c r="C9" s="3"/>
      <c r="D9" s="3"/>
      <c r="E9" s="3"/>
      <c r="F9" s="5" t="s">
        <v>621</v>
      </c>
      <c r="G9" s="3"/>
      <c r="H9" s="3"/>
      <c r="I9" s="3"/>
      <c r="J9" s="3"/>
    </row>
    <row r="10" ht="20" customHeight="1" spans="1:10">
      <c r="A10" s="5"/>
      <c r="B10" s="3"/>
      <c r="C10" s="3"/>
      <c r="D10" s="3"/>
      <c r="E10" s="3"/>
      <c r="F10" s="5" t="s">
        <v>622</v>
      </c>
      <c r="G10" s="3"/>
      <c r="H10" s="3"/>
      <c r="I10" s="3"/>
      <c r="J10" s="3"/>
    </row>
    <row r="11" ht="20" customHeight="1" spans="1:10">
      <c r="A11" s="5"/>
      <c r="B11" s="3"/>
      <c r="C11" s="3"/>
      <c r="D11" s="3"/>
      <c r="E11" s="3"/>
      <c r="F11" s="5" t="s">
        <v>623</v>
      </c>
      <c r="G11" s="3">
        <v>0</v>
      </c>
      <c r="H11" s="3"/>
      <c r="I11" s="3"/>
      <c r="J11" s="3"/>
    </row>
    <row r="12" ht="20" customHeight="1" spans="1:10">
      <c r="A12" s="5"/>
      <c r="B12" s="3"/>
      <c r="C12" s="3"/>
      <c r="D12" s="3"/>
      <c r="E12" s="3"/>
      <c r="F12" s="5" t="s">
        <v>624</v>
      </c>
      <c r="G12" s="3"/>
      <c r="H12" s="3"/>
      <c r="I12" s="3"/>
      <c r="J12" s="3"/>
    </row>
    <row r="13" ht="20" customHeight="1" spans="1:10">
      <c r="A13" s="5"/>
      <c r="B13" s="3"/>
      <c r="C13" s="3"/>
      <c r="D13" s="3"/>
      <c r="E13" s="3"/>
      <c r="F13" s="5" t="s">
        <v>625</v>
      </c>
      <c r="G13" s="3">
        <f>G14</f>
        <v>150</v>
      </c>
      <c r="H13" s="3"/>
      <c r="I13" s="3">
        <v>-150</v>
      </c>
      <c r="J13" s="3"/>
    </row>
    <row r="14" ht="20" customHeight="1" spans="1:10">
      <c r="A14" s="5"/>
      <c r="B14" s="3"/>
      <c r="C14" s="3"/>
      <c r="D14" s="3"/>
      <c r="E14" s="3"/>
      <c r="F14" s="5" t="s">
        <v>626</v>
      </c>
      <c r="G14" s="3">
        <v>150</v>
      </c>
      <c r="H14" s="3"/>
      <c r="I14" s="3">
        <v>-150</v>
      </c>
      <c r="J14" s="3"/>
    </row>
    <row r="15" ht="20" customHeight="1" spans="1:10">
      <c r="A15" s="3" t="s">
        <v>206</v>
      </c>
      <c r="B15" s="3">
        <f>B4</f>
        <v>150</v>
      </c>
      <c r="C15" s="3">
        <v>208</v>
      </c>
      <c r="D15" s="3"/>
      <c r="E15" s="3">
        <v>208</v>
      </c>
      <c r="F15" s="3" t="s">
        <v>207</v>
      </c>
      <c r="G15" s="3">
        <f>G14</f>
        <v>150</v>
      </c>
      <c r="H15" s="3"/>
      <c r="I15" s="3">
        <v>-150</v>
      </c>
      <c r="J15" s="3"/>
    </row>
    <row r="16" ht="20" customHeight="1" spans="1:10">
      <c r="A16" s="5" t="s">
        <v>627</v>
      </c>
      <c r="B16" s="3"/>
      <c r="C16" s="3"/>
      <c r="D16" s="3"/>
      <c r="E16" s="3"/>
      <c r="F16" s="5" t="s">
        <v>628</v>
      </c>
      <c r="G16" s="3"/>
      <c r="H16" s="3"/>
      <c r="I16" s="3"/>
      <c r="J16" s="3"/>
    </row>
    <row r="17" ht="20" customHeight="1" spans="1:10">
      <c r="A17" s="5"/>
      <c r="B17" s="3"/>
      <c r="C17" s="3"/>
      <c r="D17" s="3"/>
      <c r="E17" s="3"/>
      <c r="F17" s="5" t="s">
        <v>629</v>
      </c>
      <c r="G17" s="3"/>
      <c r="H17" s="3"/>
      <c r="I17" s="3">
        <v>208</v>
      </c>
      <c r="J17" s="3">
        <v>208</v>
      </c>
    </row>
    <row r="18" ht="20" customHeight="1" spans="1:10">
      <c r="A18" s="5"/>
      <c r="B18" s="3"/>
      <c r="C18" s="3"/>
      <c r="D18" s="3"/>
      <c r="E18" s="3"/>
      <c r="F18" s="5" t="s">
        <v>630</v>
      </c>
      <c r="G18" s="3"/>
      <c r="H18" s="3"/>
      <c r="I18" s="3">
        <v>208</v>
      </c>
      <c r="J18" s="3">
        <v>208</v>
      </c>
    </row>
    <row r="19" ht="20" customHeight="1" spans="1:10">
      <c r="A19" s="5" t="s">
        <v>631</v>
      </c>
      <c r="B19" s="3"/>
      <c r="C19" s="3"/>
      <c r="D19" s="3"/>
      <c r="E19" s="3"/>
      <c r="F19" s="5" t="s">
        <v>632</v>
      </c>
      <c r="G19" s="3">
        <v>0</v>
      </c>
      <c r="H19" s="3"/>
      <c r="I19" s="3"/>
      <c r="J19" s="3"/>
    </row>
    <row r="20" ht="20" customHeight="1" spans="1:10">
      <c r="A20" s="5" t="s">
        <v>633</v>
      </c>
      <c r="B20" s="3"/>
      <c r="C20" s="3"/>
      <c r="D20" s="3"/>
      <c r="E20" s="3"/>
      <c r="F20" s="5" t="s">
        <v>633</v>
      </c>
      <c r="G20" s="3"/>
      <c r="H20" s="3"/>
      <c r="I20" s="3"/>
      <c r="J20" s="3"/>
    </row>
    <row r="21" ht="20" customHeight="1" spans="1:10">
      <c r="A21" s="3" t="s">
        <v>533</v>
      </c>
      <c r="B21" s="3">
        <f>B15</f>
        <v>150</v>
      </c>
      <c r="C21" s="3"/>
      <c r="D21" s="3"/>
      <c r="E21" s="3">
        <f>E15</f>
        <v>208</v>
      </c>
      <c r="F21" s="3" t="s">
        <v>534</v>
      </c>
      <c r="G21" s="3">
        <f>G15</f>
        <v>150</v>
      </c>
      <c r="H21" s="3"/>
      <c r="I21" s="3"/>
      <c r="J21" s="3">
        <f>E21</f>
        <v>208</v>
      </c>
    </row>
  </sheetData>
  <mergeCells count="2">
    <mergeCell ref="A1:J1"/>
    <mergeCell ref="H2:J2"/>
  </mergeCells>
  <printOptions horizontalCentered="1"/>
  <pageMargins left="0.751388888888889" right="0.751388888888889" top="0.786805555555556" bottom="0.393055555555556" header="0.511805555555556" footer="0.511805555555556"/>
  <pageSetup paperSize="9" scale="80" orientation="landscape"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18" sqref="G18"/>
    </sheetView>
  </sheetViews>
  <sheetFormatPr defaultColWidth="9" defaultRowHeight="13.5" outlineLevelCol="6"/>
  <cols>
    <col min="1" max="1" width="5.375" customWidth="1"/>
    <col min="2" max="2" width="22.5" customWidth="1"/>
    <col min="3" max="3" width="13.25" customWidth="1"/>
    <col min="4" max="4" width="39.625" customWidth="1"/>
    <col min="5" max="5" width="14.375" customWidth="1"/>
    <col min="6" max="6" width="13.875" customWidth="1"/>
    <col min="7" max="7" width="42.125" customWidth="1"/>
  </cols>
  <sheetData>
    <row r="1" ht="35" customHeight="1" spans="1:7">
      <c r="A1" s="1" t="s">
        <v>634</v>
      </c>
      <c r="B1" s="1"/>
      <c r="C1" s="1"/>
      <c r="D1" s="1"/>
      <c r="E1" s="1"/>
      <c r="F1" s="1"/>
      <c r="G1" s="1"/>
    </row>
    <row r="2" ht="25" customHeight="1" spans="1:7">
      <c r="A2" s="11" t="s">
        <v>635</v>
      </c>
      <c r="B2" s="11"/>
      <c r="C2" s="11"/>
      <c r="D2" s="11"/>
      <c r="E2" s="11"/>
      <c r="F2" s="11"/>
      <c r="G2" s="2" t="s">
        <v>27</v>
      </c>
    </row>
    <row r="3" s="10" customFormat="1" ht="50" customHeight="1" spans="1:7">
      <c r="A3" s="3" t="s">
        <v>636</v>
      </c>
      <c r="B3" s="3" t="s">
        <v>637</v>
      </c>
      <c r="C3" s="3" t="s">
        <v>638</v>
      </c>
      <c r="D3" s="3" t="s">
        <v>639</v>
      </c>
      <c r="E3" s="3" t="s">
        <v>640</v>
      </c>
      <c r="F3" s="3" t="s">
        <v>641</v>
      </c>
      <c r="G3" s="3" t="s">
        <v>642</v>
      </c>
    </row>
    <row r="4" ht="50" customHeight="1" spans="1:7">
      <c r="A4" s="12">
        <v>1</v>
      </c>
      <c r="B4" s="5" t="s">
        <v>643</v>
      </c>
      <c r="C4" s="6">
        <f>SUM(C5:C7)</f>
        <v>133813.2</v>
      </c>
      <c r="D4" s="5"/>
      <c r="E4" s="4"/>
      <c r="F4" s="6">
        <f>SUM(F5:F7)</f>
        <v>133813.2</v>
      </c>
      <c r="G4" s="5"/>
    </row>
    <row r="5" ht="50" customHeight="1" spans="1:7">
      <c r="A5" s="13"/>
      <c r="B5" s="14" t="s">
        <v>644</v>
      </c>
      <c r="C5" s="6">
        <v>123763.2</v>
      </c>
      <c r="D5" s="15" t="s">
        <v>645</v>
      </c>
      <c r="E5" s="4" t="s">
        <v>646</v>
      </c>
      <c r="F5" s="6">
        <v>96050.2</v>
      </c>
      <c r="G5" s="16" t="s">
        <v>647</v>
      </c>
    </row>
    <row r="6" ht="50" customHeight="1" spans="1:7">
      <c r="A6" s="13"/>
      <c r="B6" s="14"/>
      <c r="C6" s="6"/>
      <c r="D6" s="15" t="s">
        <v>648</v>
      </c>
      <c r="E6" s="4" t="s">
        <v>649</v>
      </c>
      <c r="F6" s="6">
        <v>27713</v>
      </c>
      <c r="G6" s="17"/>
    </row>
    <row r="7" ht="50" customHeight="1" spans="1:7">
      <c r="A7" s="18"/>
      <c r="B7" s="5" t="s">
        <v>650</v>
      </c>
      <c r="C7" s="6">
        <v>10050</v>
      </c>
      <c r="D7" s="15" t="s">
        <v>651</v>
      </c>
      <c r="E7" s="4"/>
      <c r="F7" s="6">
        <v>10050</v>
      </c>
      <c r="G7" s="15" t="s">
        <v>652</v>
      </c>
    </row>
    <row r="8" ht="50" customHeight="1" spans="1:7">
      <c r="A8" s="4">
        <v>2</v>
      </c>
      <c r="B8" s="5" t="s">
        <v>653</v>
      </c>
      <c r="C8" s="6">
        <v>15000</v>
      </c>
      <c r="D8" s="15" t="s">
        <v>654</v>
      </c>
      <c r="E8" s="4" t="s">
        <v>655</v>
      </c>
      <c r="F8" s="6">
        <v>15000</v>
      </c>
      <c r="G8" s="5" t="s">
        <v>656</v>
      </c>
    </row>
    <row r="9" ht="50" customHeight="1" spans="1:7">
      <c r="A9" s="5"/>
      <c r="B9" s="3" t="s">
        <v>657</v>
      </c>
      <c r="C9" s="9">
        <f>C4+C8</f>
        <v>148813.2</v>
      </c>
      <c r="D9" s="8"/>
      <c r="E9" s="8"/>
      <c r="F9" s="9">
        <f>F4+F8</f>
        <v>148813.2</v>
      </c>
      <c r="G9" s="5"/>
    </row>
  </sheetData>
  <mergeCells count="5">
    <mergeCell ref="A1:G1"/>
    <mergeCell ref="A4:A7"/>
    <mergeCell ref="B5:B6"/>
    <mergeCell ref="C5:C6"/>
    <mergeCell ref="G5:G6"/>
  </mergeCells>
  <printOptions horizontalCentered="1"/>
  <pageMargins left="0.751388888888889" right="0.751388888888889" top="1" bottom="1" header="0.5" footer="0.5"/>
  <pageSetup paperSize="9" scale="80" orientation="landscape" horizontalDpi="600"/>
  <headerFooter>
    <oddFooter>&amp;C第 &amp;P 页</oddFooter>
  </headerFooter>
  <ignoredErrors>
    <ignoredError sqref="C4"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9" sqref="C9"/>
    </sheetView>
  </sheetViews>
  <sheetFormatPr defaultColWidth="9" defaultRowHeight="13.5" outlineLevelCol="4"/>
  <cols>
    <col min="1" max="1" width="6.625" customWidth="1"/>
    <col min="2" max="2" width="20.625" customWidth="1"/>
    <col min="3" max="3" width="64.875" customWidth="1"/>
    <col min="4" max="4" width="20.625" customWidth="1"/>
    <col min="5" max="5" width="35.875" customWidth="1"/>
  </cols>
  <sheetData>
    <row r="1" ht="35" customHeight="1" spans="1:5">
      <c r="A1" s="1" t="s">
        <v>658</v>
      </c>
      <c r="B1" s="1"/>
      <c r="C1" s="1"/>
      <c r="D1" s="1"/>
      <c r="E1" s="1"/>
    </row>
    <row r="2" ht="25" customHeight="1" spans="1:5">
      <c r="A2" t="s">
        <v>659</v>
      </c>
      <c r="E2" s="2" t="s">
        <v>27</v>
      </c>
    </row>
    <row r="3" ht="25" customHeight="1" spans="1:5">
      <c r="A3" s="3" t="s">
        <v>636</v>
      </c>
      <c r="B3" s="3" t="s">
        <v>660</v>
      </c>
      <c r="C3" s="3" t="s">
        <v>639</v>
      </c>
      <c r="D3" s="3" t="s">
        <v>661</v>
      </c>
      <c r="E3" s="3" t="s">
        <v>662</v>
      </c>
    </row>
    <row r="4" ht="25" customHeight="1" spans="1:5">
      <c r="A4" s="4">
        <v>1</v>
      </c>
      <c r="B4" s="4" t="s">
        <v>663</v>
      </c>
      <c r="C4" s="5" t="s">
        <v>664</v>
      </c>
      <c r="D4" s="6">
        <v>100</v>
      </c>
      <c r="E4" s="5" t="s">
        <v>665</v>
      </c>
    </row>
    <row r="5" ht="25" customHeight="1" spans="1:5">
      <c r="A5" s="4">
        <v>2</v>
      </c>
      <c r="B5" s="4" t="s">
        <v>663</v>
      </c>
      <c r="C5" s="5" t="s">
        <v>666</v>
      </c>
      <c r="D5" s="6">
        <v>200</v>
      </c>
      <c r="E5" s="5" t="s">
        <v>665</v>
      </c>
    </row>
    <row r="6" ht="25" customHeight="1" spans="1:5">
      <c r="A6" s="4">
        <v>3</v>
      </c>
      <c r="B6" s="4" t="s">
        <v>663</v>
      </c>
      <c r="C6" s="5" t="s">
        <v>667</v>
      </c>
      <c r="D6" s="6">
        <v>150</v>
      </c>
      <c r="E6" s="5" t="s">
        <v>665</v>
      </c>
    </row>
    <row r="7" ht="25" customHeight="1" spans="1:5">
      <c r="A7" s="4">
        <v>4</v>
      </c>
      <c r="B7" s="4" t="s">
        <v>663</v>
      </c>
      <c r="C7" s="5" t="s">
        <v>668</v>
      </c>
      <c r="D7" s="6">
        <v>1250</v>
      </c>
      <c r="E7" s="5" t="s">
        <v>665</v>
      </c>
    </row>
    <row r="8" ht="25" customHeight="1" spans="1:5">
      <c r="A8" s="4">
        <v>5</v>
      </c>
      <c r="B8" s="4" t="s">
        <v>663</v>
      </c>
      <c r="C8" s="5" t="s">
        <v>669</v>
      </c>
      <c r="D8" s="6">
        <v>400</v>
      </c>
      <c r="E8" s="5" t="s">
        <v>665</v>
      </c>
    </row>
    <row r="9" ht="25" customHeight="1" spans="1:5">
      <c r="A9" s="4">
        <v>6</v>
      </c>
      <c r="B9" s="4" t="s">
        <v>663</v>
      </c>
      <c r="C9" s="5" t="s">
        <v>670</v>
      </c>
      <c r="D9" s="6">
        <f>2300+500</f>
        <v>2800</v>
      </c>
      <c r="E9" s="5" t="s">
        <v>665</v>
      </c>
    </row>
    <row r="10" ht="25" customHeight="1" spans="1:5">
      <c r="A10" s="4">
        <v>7</v>
      </c>
      <c r="B10" s="4" t="s">
        <v>663</v>
      </c>
      <c r="C10" s="5" t="s">
        <v>671</v>
      </c>
      <c r="D10" s="6">
        <v>650</v>
      </c>
      <c r="E10" s="5" t="s">
        <v>665</v>
      </c>
    </row>
    <row r="11" ht="25" customHeight="1" spans="1:5">
      <c r="A11" s="4">
        <v>8</v>
      </c>
      <c r="B11" s="4" t="s">
        <v>663</v>
      </c>
      <c r="C11" s="7" t="s">
        <v>672</v>
      </c>
      <c r="D11" s="6">
        <v>470</v>
      </c>
      <c r="E11" s="5" t="s">
        <v>665</v>
      </c>
    </row>
    <row r="12" ht="25" customHeight="1" spans="1:5">
      <c r="A12" s="4">
        <v>9</v>
      </c>
      <c r="B12" s="4" t="s">
        <v>663</v>
      </c>
      <c r="C12" s="5" t="s">
        <v>673</v>
      </c>
      <c r="D12" s="6">
        <f>1000-500</f>
        <v>500</v>
      </c>
      <c r="E12" s="5" t="s">
        <v>665</v>
      </c>
    </row>
    <row r="13" ht="25" customHeight="1" spans="1:5">
      <c r="A13" s="4">
        <v>10</v>
      </c>
      <c r="B13" s="4" t="s">
        <v>674</v>
      </c>
      <c r="C13" s="5" t="s">
        <v>675</v>
      </c>
      <c r="D13" s="6">
        <v>200</v>
      </c>
      <c r="E13" s="5" t="s">
        <v>665</v>
      </c>
    </row>
    <row r="14" ht="25" customHeight="1" spans="1:5">
      <c r="A14" s="4">
        <v>11</v>
      </c>
      <c r="B14" s="4" t="s">
        <v>674</v>
      </c>
      <c r="C14" s="5" t="s">
        <v>676</v>
      </c>
      <c r="D14" s="6">
        <v>743</v>
      </c>
      <c r="E14" s="5" t="s">
        <v>677</v>
      </c>
    </row>
    <row r="15" ht="25" customHeight="1" spans="1:5">
      <c r="A15" s="4">
        <v>12</v>
      </c>
      <c r="B15" s="4" t="s">
        <v>674</v>
      </c>
      <c r="C15" s="5" t="s">
        <v>678</v>
      </c>
      <c r="D15" s="6">
        <v>700</v>
      </c>
      <c r="E15" s="5" t="s">
        <v>677</v>
      </c>
    </row>
    <row r="16" ht="25" customHeight="1" spans="1:5">
      <c r="A16" s="8"/>
      <c r="B16" s="8"/>
      <c r="C16" s="3" t="s">
        <v>679</v>
      </c>
      <c r="D16" s="9">
        <f>SUM(D4:D15)</f>
        <v>8163</v>
      </c>
      <c r="E16" s="8"/>
    </row>
  </sheetData>
  <mergeCells count="1">
    <mergeCell ref="A1:E1"/>
  </mergeCells>
  <printOptions horizontalCentered="1"/>
  <pageMargins left="0.751388888888889" right="0.751388888888889" top="1" bottom="1" header="0.5" footer="0.5"/>
  <pageSetup paperSize="9"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封面</vt:lpstr>
      <vt:lpstr>目录</vt: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2018-01-31T10:05:00Z</dcterms:created>
  <dcterms:modified xsi:type="dcterms:W3CDTF">2022-10-02T09:43:17Z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linkTarget="0">
    <vt:lpwstr>14</vt:lpwstr>
  </property>
</Properties>
</file>